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D:\OneDrive - Adani\Desktop\Ariba Services _ 23 24\AMC Contract _ 24-25\Vehicle 24 25 26 27\RFP_Vehicle\"/>
    </mc:Choice>
  </mc:AlternateContent>
  <xr:revisionPtr revIDLastSave="0" documentId="13_ncr:1_{A7086A2F-B4FA-408F-9EEE-870FE90DDF01}" xr6:coauthVersionLast="47" xr6:coauthVersionMax="47" xr10:uidLastSave="{00000000-0000-0000-0000-000000000000}"/>
  <bookViews>
    <workbookView xWindow="-120" yWindow="-120" windowWidth="20730" windowHeight="11040" tabRatio="766" xr2:uid="{00000000-000D-0000-FFFF-FFFF00000000}"/>
  </bookViews>
  <sheets>
    <sheet name="Final SLA" sheetId="11" r:id="rId1"/>
    <sheet name="MP LD Illu." sheetId="4" state="hidden" r:id="rId2"/>
    <sheet name="Min. Wage Illu. " sheetId="6" state="hidden" r:id="rId3"/>
  </sheets>
  <definedNames>
    <definedName name="_xlnm.Print_Area" localSheetId="0">'Final SLA'!$A$1:$K$29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1" l="1"/>
  <c r="H29" i="11" s="1"/>
  <c r="H31" i="11" s="1"/>
  <c r="H2" i="11"/>
  <c r="I30" i="11"/>
  <c r="H30" i="11"/>
  <c r="I28" i="11" l="1"/>
  <c r="G14" i="11"/>
  <c r="H24" i="11"/>
  <c r="I24" i="11" s="1"/>
  <c r="H19" i="11"/>
  <c r="G19" i="11"/>
  <c r="H14" i="11"/>
  <c r="H6" i="11"/>
  <c r="G6" i="11"/>
  <c r="I19" i="11" l="1"/>
  <c r="H27" i="11"/>
  <c r="I14" i="11"/>
  <c r="I6" i="11"/>
  <c r="I27" i="11" l="1"/>
  <c r="I29" i="11" l="1"/>
  <c r="I31" i="11" s="1"/>
  <c r="F25" i="6" l="1"/>
  <c r="E25" i="6"/>
  <c r="D25" i="6"/>
  <c r="F8" i="6"/>
  <c r="F9" i="6" s="1"/>
  <c r="E8" i="6"/>
  <c r="E9" i="6" s="1"/>
  <c r="D8" i="6"/>
  <c r="D9" i="6" s="1"/>
  <c r="D13" i="6" s="1"/>
  <c r="D14" i="6" s="1"/>
  <c r="D16" i="6" s="1"/>
  <c r="D17" i="6" s="1"/>
  <c r="D19" i="6" l="1"/>
  <c r="D21" i="6"/>
  <c r="D18" i="6"/>
  <c r="D20" i="6"/>
  <c r="D22" i="6" l="1"/>
  <c r="E13" i="6"/>
  <c r="E14" i="6" s="1"/>
  <c r="E16" i="6" s="1"/>
  <c r="E17" i="6" s="1"/>
  <c r="F13" i="6"/>
  <c r="F14" i="6" s="1"/>
  <c r="F16" i="6" s="1"/>
  <c r="F17" i="6" s="1"/>
  <c r="D23" i="6" l="1"/>
  <c r="D24" i="6" s="1"/>
  <c r="D26" i="6" s="1"/>
  <c r="F21" i="6"/>
  <c r="F19" i="6"/>
  <c r="F20" i="6"/>
  <c r="F18" i="6"/>
  <c r="E20" i="6"/>
  <c r="E18" i="6"/>
  <c r="E19" i="6"/>
  <c r="E21" i="6"/>
  <c r="E22" i="6" l="1"/>
  <c r="F22" i="6"/>
  <c r="D23" i="4"/>
  <c r="D24" i="4" s="1"/>
  <c r="D10" i="4"/>
  <c r="D9" i="4"/>
  <c r="D13" i="4"/>
  <c r="D14" i="4"/>
  <c r="D15" i="4" l="1"/>
  <c r="E23" i="6"/>
  <c r="E24" i="6" s="1"/>
  <c r="E26" i="6" s="1"/>
  <c r="F23" i="6"/>
  <c r="F24" i="6" s="1"/>
  <c r="F26" i="6" s="1"/>
  <c r="D16" i="4"/>
  <c r="D17" i="4" s="1"/>
  <c r="D26" i="4" s="1"/>
</calcChain>
</file>

<file path=xl/sharedStrings.xml><?xml version="1.0" encoding="utf-8"?>
<sst xmlns="http://schemas.openxmlformats.org/spreadsheetml/2006/main" count="190" uniqueCount="148">
  <si>
    <t>Sr. No.</t>
  </si>
  <si>
    <t>Description</t>
  </si>
  <si>
    <t>Weightage</t>
  </si>
  <si>
    <t>Category</t>
  </si>
  <si>
    <t>UoM</t>
  </si>
  <si>
    <t>Value</t>
  </si>
  <si>
    <t>Rs.</t>
  </si>
  <si>
    <t>Manpower Category : Housekeeping Supervisor</t>
  </si>
  <si>
    <t>Rs. per 
Man-day</t>
  </si>
  <si>
    <t>No. of Normal Working Days (NWD) in the month</t>
  </si>
  <si>
    <t>Man-Day</t>
  </si>
  <si>
    <t>Day</t>
  </si>
  <si>
    <t>No.</t>
  </si>
  <si>
    <t xml:space="preserve">Average Man-day Rate (= '9' ÷ '10') </t>
  </si>
  <si>
    <t>Total No. of Days in the Month</t>
  </si>
  <si>
    <t>Note:</t>
  </si>
  <si>
    <t>Calculated figures under above Sr. Nos. 11, 15, 17 &amp; 18 shall be rounded to nearest integer value.</t>
  </si>
  <si>
    <t xml:space="preserve">Sr. No. </t>
  </si>
  <si>
    <t>UOM</t>
  </si>
  <si>
    <t>Semi-skilled Manpower</t>
  </si>
  <si>
    <t>Un-skilled Manpower</t>
  </si>
  <si>
    <t>Remarks</t>
  </si>
  <si>
    <t>Rs./ day</t>
  </si>
  <si>
    <t>PF, EDLI &amp; Admin. Charges</t>
  </si>
  <si>
    <t xml:space="preserve">Bonus </t>
  </si>
  <si>
    <t>Leave Entitlement</t>
  </si>
  <si>
    <t>Figures given in the above table are for illustration purpose only. The figures w.r.t. category-wise Man-month rates, manpower counts etc. shall be as per final Contract.</t>
  </si>
  <si>
    <t>Month : July 2018 (say)</t>
  </si>
  <si>
    <t>a</t>
  </si>
  <si>
    <t>b</t>
  </si>
  <si>
    <t>Illustration for Change in Man-Month/ Man-day Rates w.r.t. Changes in Minimum Wages Declared by the State Government</t>
  </si>
  <si>
    <t>Existing minimum wages w.e.f. 01.04.2018 (say)</t>
  </si>
  <si>
    <t>Skilled Manpower</t>
  </si>
  <si>
    <t>SCHEDULE - 7 (PART - G)</t>
  </si>
  <si>
    <t>SCHEDULE - 7 (PART - H)</t>
  </si>
  <si>
    <t>Illustration for Calculation of LD Against Shortfall in Manpower Deployment</t>
  </si>
  <si>
    <t>Calculation of LD Against Shortfall in Manpower Deployment</t>
  </si>
  <si>
    <t>LD Against Shortfall in Manpower Deployment
(if '16' &lt; '15', = ('14' - '16') * '11' * 1.5, else = ('14' - '16') * '11'</t>
  </si>
  <si>
    <t>Yearly Salary for Manpower Deployed on NWD basis
(= '3' * '1')</t>
  </si>
  <si>
    <t>Man-month Rate on 365D basis (say)</t>
  </si>
  <si>
    <t>Man-month Rate on NWD basis (say)</t>
  </si>
  <si>
    <t>No./ Year</t>
  </si>
  <si>
    <t>Rs./ Year</t>
  </si>
  <si>
    <t>Rs./ Month</t>
  </si>
  <si>
    <t>Yearly Salary for Manpower Deployed on 365D basis
(= '7' * '1')</t>
  </si>
  <si>
    <t>Total Scheduled 'NWD' Man-days (= '2' * 305)</t>
  </si>
  <si>
    <t>Total Scheduled '365D' Man-days (= '6' * 365)</t>
  </si>
  <si>
    <t>Total Scheduled Man-days per Annum (= '3' + '7')</t>
  </si>
  <si>
    <t>Total Scheduled Salary per Annum (= '4' + '8')</t>
  </si>
  <si>
    <t xml:space="preserve">Total Scheduled Man-days for the Month
(= '2' * '12' + '6' * '13') </t>
  </si>
  <si>
    <t>Manpower Scheduled on NWD basis (say)</t>
  </si>
  <si>
    <t>Manpower Scheduled on 365D basis (say)</t>
  </si>
  <si>
    <t>Actual Monthly Manpower Deployment (say)</t>
  </si>
  <si>
    <t>Min. Monthly Manpower Deployment Required (= 14' * 90%)</t>
  </si>
  <si>
    <t>Calculation of Weighted. Average Man-day Rate</t>
  </si>
  <si>
    <t>Man-day</t>
  </si>
  <si>
    <t>Notes:</t>
  </si>
  <si>
    <t>As per Govt. notification
(say w.e.f. 01.10.2018)</t>
  </si>
  <si>
    <t>Basic + VDA 
1st revision during 1st Contract Year (say)</t>
  </si>
  <si>
    <t>Basic + VDA 
2nd revision during 1st Contract Year (say)</t>
  </si>
  <si>
    <t>Base Basic + VDA
(i.e. Base Minimum Wages considered in the Agreement)</t>
  </si>
  <si>
    <t>Months</t>
  </si>
  <si>
    <t>As per Govt. notification
(say w.e.f. 01.04.2019)</t>
  </si>
  <si>
    <t>Illustration for 1st Contract Year (i.e. from 01.07.2018 to 30.06.2019)</t>
  </si>
  <si>
    <t>c</t>
  </si>
  <si>
    <t>d</t>
  </si>
  <si>
    <t>e</t>
  </si>
  <si>
    <t>f</t>
  </si>
  <si>
    <t>g</t>
  </si>
  <si>
    <t>h</t>
  </si>
  <si>
    <t>i</t>
  </si>
  <si>
    <t>j</t>
  </si>
  <si>
    <t>k</t>
  </si>
  <si>
    <t>l</t>
  </si>
  <si>
    <t>m</t>
  </si>
  <si>
    <t>n</t>
  </si>
  <si>
    <t>p</t>
  </si>
  <si>
    <t>q</t>
  </si>
  <si>
    <t>r</t>
  </si>
  <si>
    <t>s</t>
  </si>
  <si>
    <t>t</t>
  </si>
  <si>
    <t>u</t>
  </si>
  <si>
    <t>Period of applicability of min. wages under Sr. No. a</t>
  </si>
  <si>
    <t>Period of applicability of min. wages under Sr. No. b</t>
  </si>
  <si>
    <t>Period of applicability of min. wages under Sr. No. c</t>
  </si>
  <si>
    <t>Wtd. Avg. Basic + VDA
for 1st Contract Year
[ = a*d + b*e + c*f / (d+e+f) ]</t>
  </si>
  <si>
    <t>% Variance w.r.t. '1'
[ = (g ÷ a) - 1]</t>
  </si>
  <si>
    <t>Annual Escalation Considered in The Agreement</t>
  </si>
  <si>
    <t>% Change in Min. Wages in Excess of Allowed Annual Escalation [ = h - i ]</t>
  </si>
  <si>
    <t>%</t>
  </si>
  <si>
    <t>Commercial Impact of Change in Min. Wages [ = a * j ]</t>
  </si>
  <si>
    <t>13.16% of 'k'</t>
  </si>
  <si>
    <t>5% of 'k'</t>
  </si>
  <si>
    <t>Sub-Total [ sum of k to p ]</t>
  </si>
  <si>
    <t>= q * 1/6 (if applicable)</t>
  </si>
  <si>
    <t>8.33% of 'k' (if applicable)</t>
  </si>
  <si>
    <t>Reliever Cost</t>
  </si>
  <si>
    <t>Workman Compensation/ ESIC</t>
  </si>
  <si>
    <t>WC @ 1% of 'k' or ESIC
(as applicable)</t>
  </si>
  <si>
    <t>Sub-Total [ = q + r ]
(rounded to 2 decimal places)</t>
  </si>
  <si>
    <t>Reimbursement Amount Against Changes in Min. Wages for 1st Contract Year
(rounded to nearest integer)</t>
  </si>
  <si>
    <t>Bonus, in above illustration, shall be payable only if the Min. Wages are in excess of Rs. 7000/- per month.</t>
  </si>
  <si>
    <t>The cost impact of increase or reduction in minimum wage rates shall be calculated on a weighted average basis and reconciled/ adjusted at the end of every Contract Year.</t>
  </si>
  <si>
    <t>Either of Workmen Compensation Policy or ESIC (as applicable for the site) shall be applicable for the above calculations. Rate of ESIC shall be based on relevant rules &amp; regulations.</t>
  </si>
  <si>
    <t>The reimbursement against changes in minimum wages shall be payable only for specified manpower categories which are impacted due to such changes.</t>
  </si>
  <si>
    <t>Actual Category-wise Manpower Deployment During The Period</t>
  </si>
  <si>
    <t>Cumulative actual Man-days for the Contract Year</t>
  </si>
  <si>
    <t>The IFMS Provider shall submit separate supplementary invoice for same, along with all supporting documents and calculations as per actual category-wise manpower deployed during the subject Contract Year.</t>
  </si>
  <si>
    <t>SLA Description</t>
  </si>
  <si>
    <t>SLA Measurement Criteria</t>
  </si>
  <si>
    <t>K Factor</t>
  </si>
  <si>
    <t>Actual Values</t>
  </si>
  <si>
    <t>Applicable K Factor</t>
  </si>
  <si>
    <t>Monthly Amount Considering actual value of K Factor</t>
  </si>
  <si>
    <t>Reference data</t>
  </si>
  <si>
    <t xml:space="preserve">d = a  x Monthly Amount </t>
  </si>
  <si>
    <t>e = c x d</t>
  </si>
  <si>
    <t>Manual</t>
  </si>
  <si>
    <t>Unhygeine or Non-working of AC in Vehicle</t>
  </si>
  <si>
    <t>Drink &amp; Drive Instance</t>
  </si>
  <si>
    <t>No instance</t>
  </si>
  <si>
    <t>1 instance</t>
  </si>
  <si>
    <t>2 instance</t>
  </si>
  <si>
    <t>3 instance &amp; above</t>
  </si>
  <si>
    <t>2 days</t>
  </si>
  <si>
    <t>3 days &amp; more</t>
  </si>
  <si>
    <t>Zero day</t>
  </si>
  <si>
    <t>1 day</t>
  </si>
  <si>
    <t xml:space="preserve">Monthly Amount Considering K=1 Factor </t>
  </si>
  <si>
    <t>VA= N (30 days)</t>
  </si>
  <si>
    <t>VA= N-1</t>
  </si>
  <si>
    <t>VA=N-2</t>
  </si>
  <si>
    <t>VA=N-3</t>
  </si>
  <si>
    <t>VA=N-4</t>
  </si>
  <si>
    <t>VA=N-5</t>
  </si>
  <si>
    <t>VA &lt; (N-5)</t>
  </si>
  <si>
    <t>29 days</t>
  </si>
  <si>
    <t>Fixed Monthly Hiring (Rs.), say (Excl. GST)</t>
  </si>
  <si>
    <t>Monthly Payout for Fixed Monthly Cost (= ''1'' + ''2'' + ''3'' + ''4'')</t>
  </si>
  <si>
    <t>In Drink &amp; Drive instance, in addition to the penalty, the driver shall also be replaced by the service provider. Employer also has the right to terminate the contract.</t>
  </si>
  <si>
    <t>Service non-compliances:
a) Uniform &amp; Shoes/ Proper dressing
b) Rash Driving/ Overspeed driving
c) Cleaniness of Vehicle
d) Non Valid or Non Availability of Valid Documents (incl. Driving license)
e) Behavioural Issue of Driver
f) Driving without Seat Belt
g) Using Mobile Phone while Driving 
h) Absence of Cleaner/Helper</t>
  </si>
  <si>
    <t>Total Monthly Payout for a Vehicle (= '' 7'' + ''8'')</t>
  </si>
  <si>
    <r>
      <t xml:space="preserve">Monthly Payout for Extra Running KM Cost:
 </t>
    </r>
    <r>
      <rPr>
        <sz val="10"/>
        <color theme="1"/>
        <rFont val="Adani Regular"/>
      </rPr>
      <t>[Actual extra KM running over and above fix monthly 9600 KM x Unit rate (Rs./KM)], 
Unit extra km rate: Rs. 18.37 /KM (say)
Hence, extra running KM for 150 km (say)= 18.37x150=2,756/-
[Total KM running: 9750 KM (say) , Extra running Km- 9750-9600= 150 km]</t>
    </r>
  </si>
  <si>
    <t xml:space="preserve">Monthly payout rental charges </t>
  </si>
  <si>
    <t>Vehicle Availability (VA)
N= 30 days (no. of days in a month)</t>
  </si>
  <si>
    <t>Monthly rental charges incl. of Diesel cost for 4000 KM</t>
  </si>
  <si>
    <t>ANNEXURE - III :  Service Level Agreements (SLAs) - Vehicle Hiring Services</t>
  </si>
  <si>
    <t>12 seater,  12 Hrs basis @ Rs.76,000/- per month inclusive of 4000 KM Running
Vehicle Monthly charges : Rs. 41,440/-
Running KM Charges ( 4000 Per month)  : Mileage = 95 /11 = Rs. 8.64 
                                          4000 X 8.64 = 34560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</si>
</sst>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_ * #,##0.00_ ;_ * \-#,##0.00_ ;_ * &quot;-&quot;??_ ;_ @_ "/>
    <numFmt numFmtId="165" formatCode="_(* #,##0.00_);_(* \(#,##0.00\);_(* &quot;-&quot;_);_(@_)"/>
    <numFmt numFmtId="166" formatCode="_(* #,##0_);_(* \(#,##0\);_(* &quot;-&quot;??_);_(@_)"/>
    <numFmt numFmtId="167" formatCode="_ * #,##0_ ;_ * \-#,##0_ ;_ * &quot;-&quot;??_ ;_ @_ "/>
    <numFmt numFmtId="168" formatCode="0.0%"/>
  </numFmts>
  <fonts count="13" x14ac:knownFonts="1">
    <font>
      <sz val="10"/>
      <color theme="1"/>
      <name val="Adani Regular"/>
      <family val="2"/>
    </font>
    <font>
      <sz val="11"/>
      <color theme="1"/>
      <name val="Calibri"/>
      <family val="2"/>
      <scheme val="minor"/>
    </font>
    <font>
      <sz val="11"/>
      <color theme="1"/>
      <name val="Calibri"/>
      <family val="2"/>
      <scheme val="minor"/>
    </font>
    <font>
      <b/>
      <sz val="10"/>
      <color theme="1"/>
      <name val="Adani Regular"/>
    </font>
    <font>
      <sz val="10"/>
      <color theme="1"/>
      <name val="Adani Regular"/>
    </font>
    <font>
      <sz val="10"/>
      <color theme="1"/>
      <name val="Adani Regular"/>
      <family val="2"/>
    </font>
    <font>
      <b/>
      <sz val="12"/>
      <color theme="1"/>
      <name val="Adani Regular"/>
    </font>
    <font>
      <sz val="10"/>
      <name val="Arial"/>
      <family val="2"/>
    </font>
    <font>
      <b/>
      <sz val="10"/>
      <color rgb="FF000000"/>
      <name val="Adani Regular"/>
    </font>
    <font>
      <sz val="10"/>
      <color rgb="FF000000"/>
      <name val="Adani Regular"/>
    </font>
    <font>
      <b/>
      <sz val="14"/>
      <color theme="1"/>
      <name val="Adani Regular"/>
    </font>
    <font>
      <sz val="10"/>
      <name val="Adani Regular"/>
    </font>
    <font>
      <b/>
      <sz val="10"/>
      <name val="Adani Regula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1" fontId="5" fillId="0" borderId="0" applyFont="0" applyFill="0" applyBorder="0" applyAlignment="0" applyProtection="0"/>
    <xf numFmtId="9" fontId="5" fillId="0" borderId="0" applyFont="0" applyFill="0" applyBorder="0" applyAlignment="0" applyProtection="0"/>
    <xf numFmtId="0" fontId="7" fillId="0" borderId="0"/>
    <xf numFmtId="164" fontId="5" fillId="0" borderId="0" applyFont="0" applyFill="0" applyBorder="0" applyAlignment="0" applyProtection="0"/>
    <xf numFmtId="0" fontId="7" fillId="0" borderId="0"/>
    <xf numFmtId="0" fontId="7"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cellStyleXfs>
  <cellXfs count="125">
    <xf numFmtId="0" fontId="0" fillId="0" borderId="0" xfId="0"/>
    <xf numFmtId="0" fontId="4" fillId="0" borderId="0" xfId="3" applyFont="1" applyAlignment="1">
      <alignment vertical="center" wrapText="1"/>
    </xf>
    <xf numFmtId="0" fontId="3" fillId="0" borderId="1" xfId="3" applyFont="1" applyBorder="1" applyAlignment="1">
      <alignment horizontal="center" vertical="center" wrapText="1"/>
    </xf>
    <xf numFmtId="0" fontId="3" fillId="0" borderId="1" xfId="3" applyFont="1" applyBorder="1" applyAlignment="1">
      <alignment horizontal="left" vertical="center" wrapText="1"/>
    </xf>
    <xf numFmtId="0" fontId="4" fillId="0" borderId="0" xfId="3" applyFont="1" applyAlignment="1">
      <alignment horizontal="left" vertical="center" wrapText="1"/>
    </xf>
    <xf numFmtId="0" fontId="4" fillId="0" borderId="1" xfId="3" applyFont="1" applyBorder="1" applyAlignment="1">
      <alignment horizontal="center" vertical="center" wrapText="1"/>
    </xf>
    <xf numFmtId="0" fontId="4" fillId="0" borderId="1" xfId="3" applyFont="1" applyBorder="1" applyAlignment="1">
      <alignment horizontal="left" vertical="center" wrapText="1"/>
    </xf>
    <xf numFmtId="0" fontId="3" fillId="0" borderId="0" xfId="3" applyFont="1" applyAlignment="1">
      <alignment horizontal="left" vertical="center"/>
    </xf>
    <xf numFmtId="0" fontId="4" fillId="0" borderId="0" xfId="3" applyFont="1" applyAlignment="1">
      <alignment horizontal="center" vertical="center" wrapText="1"/>
    </xf>
    <xf numFmtId="41" fontId="4" fillId="0" borderId="1" xfId="1" applyFont="1" applyBorder="1" applyAlignment="1">
      <alignment horizontal="left" vertical="center" wrapText="1"/>
    </xf>
    <xf numFmtId="165" fontId="4" fillId="0" borderId="1" xfId="1" applyNumberFormat="1" applyFont="1" applyBorder="1" applyAlignment="1">
      <alignment horizontal="left" vertical="center" wrapText="1"/>
    </xf>
    <xf numFmtId="0" fontId="4" fillId="0" borderId="0" xfId="3" applyFont="1" applyAlignment="1">
      <alignment wrapText="1"/>
    </xf>
    <xf numFmtId="0" fontId="4" fillId="0" borderId="0" xfId="3" applyFont="1" applyAlignment="1">
      <alignment horizontal="center" wrapText="1"/>
    </xf>
    <xf numFmtId="0" fontId="4" fillId="0" borderId="0" xfId="3" applyFont="1" applyAlignment="1">
      <alignment vertical="top" wrapText="1"/>
    </xf>
    <xf numFmtId="0" fontId="3" fillId="0" borderId="0" xfId="3" applyFont="1" applyAlignment="1">
      <alignment vertical="top" wrapText="1"/>
    </xf>
    <xf numFmtId="0" fontId="4" fillId="0" borderId="0" xfId="3" applyFont="1" applyAlignment="1">
      <alignment horizontal="center" vertical="top"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0" fontId="9" fillId="0" borderId="1" xfId="0" applyNumberFormat="1" applyFont="1" applyBorder="1" applyAlignment="1">
      <alignment horizontal="right" vertical="center" wrapText="1"/>
    </xf>
    <xf numFmtId="0" fontId="9" fillId="2" borderId="1" xfId="0" applyFont="1" applyFill="1" applyBorder="1" applyAlignment="1">
      <alignment horizontal="left" vertical="center" wrapText="1"/>
    </xf>
    <xf numFmtId="10" fontId="9" fillId="2" borderId="1" xfId="0" applyNumberFormat="1" applyFont="1" applyFill="1" applyBorder="1" applyAlignment="1">
      <alignment horizontal="right" vertical="center" wrapText="1"/>
    </xf>
    <xf numFmtId="10" fontId="8" fillId="2" borderId="1" xfId="0" applyNumberFormat="1" applyFont="1" applyFill="1" applyBorder="1" applyAlignment="1">
      <alignment horizontal="right" vertical="center" wrapText="1"/>
    </xf>
    <xf numFmtId="0" fontId="8" fillId="2" borderId="1" xfId="0" applyFont="1" applyFill="1" applyBorder="1" applyAlignment="1">
      <alignment horizontal="left" vertical="center" wrapText="1"/>
    </xf>
    <xf numFmtId="0" fontId="4" fillId="0" borderId="0" xfId="0" applyFont="1" applyAlignment="1">
      <alignment vertical="center"/>
    </xf>
    <xf numFmtId="0" fontId="9" fillId="0" borderId="1" xfId="0" applyFont="1" applyBorder="1" applyAlignment="1">
      <alignment horizontal="justify" vertical="center" wrapText="1"/>
    </xf>
    <xf numFmtId="41" fontId="9" fillId="0" borderId="1" xfId="1" applyFont="1" applyBorder="1" applyAlignment="1">
      <alignment horizontal="left" vertical="center" wrapText="1"/>
    </xf>
    <xf numFmtId="2" fontId="8" fillId="0" borderId="1" xfId="0" applyNumberFormat="1" applyFont="1" applyBorder="1" applyAlignment="1">
      <alignment horizontal="right" vertical="center" wrapText="1"/>
    </xf>
    <xf numFmtId="165" fontId="9" fillId="2" borderId="1" xfId="1" applyNumberFormat="1" applyFont="1" applyFill="1" applyBorder="1" applyAlignment="1">
      <alignment horizontal="right" vertical="center" wrapText="1"/>
    </xf>
    <xf numFmtId="165" fontId="9" fillId="0" borderId="1" xfId="1" applyNumberFormat="1" applyFont="1" applyBorder="1" applyAlignment="1">
      <alignment horizontal="right" vertical="center" wrapText="1"/>
    </xf>
    <xf numFmtId="165" fontId="8" fillId="2" borderId="1" xfId="1" applyNumberFormat="1" applyFont="1" applyFill="1" applyBorder="1" applyAlignment="1">
      <alignment horizontal="right" vertical="center" wrapText="1"/>
    </xf>
    <xf numFmtId="0" fontId="9" fillId="0" borderId="1" xfId="0" quotePrefix="1" applyFont="1" applyBorder="1" applyAlignment="1">
      <alignment horizontal="left" vertical="center" wrapText="1"/>
    </xf>
    <xf numFmtId="41" fontId="9" fillId="0" borderId="1" xfId="1" applyFont="1" applyBorder="1" applyAlignment="1">
      <alignment horizontal="right" vertical="center" wrapText="1"/>
    </xf>
    <xf numFmtId="41" fontId="8" fillId="2" borderId="1" xfId="1" applyFont="1" applyFill="1" applyBorder="1" applyAlignment="1">
      <alignment horizontal="right" vertical="center" wrapText="1"/>
    </xf>
    <xf numFmtId="0" fontId="0" fillId="0" borderId="0" xfId="0" applyAlignment="1">
      <alignment vertical="top"/>
    </xf>
    <xf numFmtId="0" fontId="3" fillId="0" borderId="0" xfId="0" applyFont="1" applyAlignment="1">
      <alignment vertical="top"/>
    </xf>
    <xf numFmtId="0" fontId="0" fillId="0" borderId="0" xfId="0" applyAlignment="1">
      <alignment horizontal="center" vertical="top"/>
    </xf>
    <xf numFmtId="2"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horizontal="center" vertical="center"/>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0" xfId="0" applyFont="1" applyAlignment="1">
      <alignment vertical="center" wrapText="1"/>
    </xf>
    <xf numFmtId="0" fontId="4" fillId="0" borderId="0" xfId="0" applyFont="1"/>
    <xf numFmtId="0" fontId="11" fillId="0" borderId="1" xfId="0" applyFont="1" applyBorder="1" applyAlignment="1">
      <alignment vertical="center"/>
    </xf>
    <xf numFmtId="0" fontId="12" fillId="0" borderId="1" xfId="0" applyFont="1" applyBorder="1" applyAlignment="1">
      <alignment vertical="center"/>
    </xf>
    <xf numFmtId="0" fontId="3" fillId="4" borderId="1" xfId="0" applyFont="1" applyFill="1" applyBorder="1" applyAlignment="1">
      <alignment horizontal="center" vertical="center"/>
    </xf>
    <xf numFmtId="166" fontId="3"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xf>
    <xf numFmtId="1" fontId="4" fillId="0" borderId="0" xfId="0" applyNumberFormat="1" applyFont="1" applyAlignment="1">
      <alignment horizontal="center" vertical="center"/>
    </xf>
    <xf numFmtId="167" fontId="4" fillId="0" borderId="0" xfId="4" applyNumberFormat="1" applyFont="1" applyFill="1" applyAlignment="1" applyProtection="1">
      <alignment horizontal="center" vertical="center"/>
    </xf>
    <xf numFmtId="168" fontId="4" fillId="0" borderId="0" xfId="2" applyNumberFormat="1" applyFont="1" applyFill="1" applyAlignment="1" applyProtection="1">
      <alignment horizontal="center" vertical="center"/>
    </xf>
    <xf numFmtId="9" fontId="4" fillId="0" borderId="0" xfId="2" applyFont="1" applyFill="1" applyAlignment="1" applyProtection="1">
      <alignment vertical="center"/>
    </xf>
    <xf numFmtId="0" fontId="3" fillId="4" borderId="1" xfId="0" applyFont="1" applyFill="1" applyBorder="1" applyAlignment="1">
      <alignment horizontal="left" vertical="center"/>
    </xf>
    <xf numFmtId="166" fontId="4" fillId="0" borderId="0" xfId="0" applyNumberFormat="1" applyFont="1" applyAlignment="1">
      <alignment horizontal="center" vertical="center"/>
    </xf>
    <xf numFmtId="0" fontId="4" fillId="0" borderId="1" xfId="0" applyFont="1" applyBorder="1" applyAlignment="1">
      <alignment horizontal="center" vertical="center"/>
    </xf>
    <xf numFmtId="0" fontId="3" fillId="0" borderId="9" xfId="0" applyFont="1" applyBorder="1" applyAlignment="1">
      <alignment horizontal="center" vertical="center" wrapText="1"/>
    </xf>
    <xf numFmtId="0" fontId="4" fillId="0" borderId="9" xfId="0" applyFont="1" applyBorder="1" applyAlignment="1">
      <alignment vertical="center"/>
    </xf>
    <xf numFmtId="0" fontId="3" fillId="0" borderId="8" xfId="0" applyFont="1" applyBorder="1" applyAlignment="1">
      <alignment horizontal="center" vertical="center" wrapText="1"/>
    </xf>
    <xf numFmtId="0" fontId="4" fillId="0" borderId="8" xfId="0" applyFont="1" applyBorder="1" applyAlignment="1">
      <alignment vertical="center"/>
    </xf>
    <xf numFmtId="0" fontId="3" fillId="0" borderId="8" xfId="0" applyFont="1" applyBorder="1" applyAlignment="1">
      <alignment horizontal="center" vertical="center"/>
    </xf>
    <xf numFmtId="164" fontId="4" fillId="0" borderId="9" xfId="4" applyFont="1" applyFill="1" applyBorder="1" applyAlignment="1" applyProtection="1">
      <alignment vertical="center" wrapText="1"/>
    </xf>
    <xf numFmtId="0" fontId="3" fillId="4" borderId="8" xfId="0" applyFont="1" applyFill="1" applyBorder="1" applyAlignment="1">
      <alignment horizontal="center" vertical="center"/>
    </xf>
    <xf numFmtId="164" fontId="4" fillId="4" borderId="9" xfId="4" applyFont="1" applyFill="1" applyBorder="1" applyAlignment="1" applyProtection="1">
      <alignment vertical="center" wrapText="1"/>
    </xf>
    <xf numFmtId="0" fontId="3" fillId="4" borderId="12" xfId="0" applyFont="1" applyFill="1" applyBorder="1" applyAlignment="1">
      <alignment horizontal="center" vertical="center"/>
    </xf>
    <xf numFmtId="0" fontId="3" fillId="4" borderId="15" xfId="0" applyFont="1" applyFill="1" applyBorder="1" applyAlignment="1">
      <alignment horizontal="center" vertical="center"/>
    </xf>
    <xf numFmtId="166" fontId="3" fillId="4" borderId="15" xfId="0" applyNumberFormat="1" applyFont="1" applyFill="1" applyBorder="1" applyAlignment="1">
      <alignment horizontal="center" vertical="center"/>
    </xf>
    <xf numFmtId="0" fontId="4" fillId="4" borderId="15" xfId="0" applyFont="1" applyFill="1" applyBorder="1" applyAlignment="1">
      <alignment horizontal="center" vertical="center" wrapText="1"/>
    </xf>
    <xf numFmtId="164" fontId="4" fillId="4" borderId="16" xfId="4" applyFont="1" applyFill="1" applyBorder="1" applyAlignment="1" applyProtection="1">
      <alignment vertical="center" wrapText="1"/>
    </xf>
    <xf numFmtId="0" fontId="3"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left" vertical="center" wrapText="1"/>
    </xf>
    <xf numFmtId="9" fontId="4" fillId="3" borderId="1" xfId="2" applyFont="1" applyFill="1" applyBorder="1" applyAlignment="1" applyProtection="1">
      <alignment horizontal="center" vertical="center"/>
    </xf>
    <xf numFmtId="166" fontId="4" fillId="0" borderId="1" xfId="4" applyNumberFormat="1" applyFont="1" applyFill="1" applyBorder="1" applyAlignment="1" applyProtection="1">
      <alignment horizontal="center" vertical="center"/>
    </xf>
    <xf numFmtId="0" fontId="4" fillId="0" borderId="1" xfId="0" applyFont="1" applyBorder="1" applyAlignment="1">
      <alignment horizontal="center" vertical="center" wrapText="1"/>
    </xf>
    <xf numFmtId="164" fontId="4" fillId="0" borderId="9" xfId="4" applyFont="1" applyFill="1" applyBorder="1" applyAlignment="1" applyProtection="1">
      <alignment horizontal="left" vertical="center" wrapText="1"/>
    </xf>
    <xf numFmtId="9" fontId="11" fillId="0" borderId="1" xfId="2" applyFont="1" applyFill="1" applyBorder="1" applyAlignment="1" applyProtection="1">
      <alignment horizontal="center" vertical="center"/>
    </xf>
    <xf numFmtId="0" fontId="3" fillId="4" borderId="3" xfId="0" applyFont="1" applyFill="1" applyBorder="1" applyAlignment="1">
      <alignment vertical="center"/>
    </xf>
    <xf numFmtId="166" fontId="3" fillId="4" borderId="1" xfId="0" applyNumberFormat="1" applyFont="1" applyFill="1" applyBorder="1" applyAlignment="1">
      <alignment horizontal="right" vertical="center"/>
    </xf>
    <xf numFmtId="166" fontId="3" fillId="4" borderId="1" xfId="0" applyNumberFormat="1" applyFont="1" applyFill="1" applyBorder="1" applyAlignment="1">
      <alignment horizontal="left" vertical="center"/>
    </xf>
    <xf numFmtId="0" fontId="3" fillId="4" borderId="4" xfId="0" applyFont="1" applyFill="1" applyBorder="1" applyAlignment="1">
      <alignment horizontal="left" vertical="center"/>
    </xf>
    <xf numFmtId="164" fontId="4" fillId="0" borderId="0" xfId="4" applyFont="1" applyFill="1" applyAlignment="1">
      <alignment vertical="center"/>
    </xf>
    <xf numFmtId="166" fontId="3" fillId="0" borderId="1" xfId="4" applyNumberFormat="1" applyFont="1" applyFill="1" applyBorder="1" applyAlignment="1">
      <alignment horizontal="lef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1" xfId="5"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vertical="center"/>
    </xf>
    <xf numFmtId="0" fontId="12" fillId="0" borderId="9" xfId="0" applyFont="1" applyBorder="1" applyAlignment="1">
      <alignmen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4" fillId="0" borderId="8" xfId="0" applyFont="1" applyBorder="1" applyAlignment="1">
      <alignment horizontal="center" vertical="center"/>
    </xf>
    <xf numFmtId="0" fontId="4" fillId="0" borderId="1" xfId="0" applyFont="1" applyBorder="1" applyAlignment="1">
      <alignment horizontal="left" vertical="center" wrapText="1"/>
    </xf>
    <xf numFmtId="9" fontId="11" fillId="0" borderId="1" xfId="2" applyFont="1" applyFill="1" applyBorder="1" applyAlignment="1" applyProtection="1">
      <alignment horizontal="center" vertical="center"/>
    </xf>
    <xf numFmtId="9" fontId="4" fillId="3" borderId="1" xfId="2" applyFont="1" applyFill="1" applyBorder="1" applyAlignment="1" applyProtection="1">
      <alignment horizontal="center" vertical="center"/>
    </xf>
    <xf numFmtId="2" fontId="4" fillId="0" borderId="1" xfId="0" applyNumberFormat="1" applyFont="1" applyBorder="1" applyAlignment="1">
      <alignment horizontal="center" vertical="center"/>
    </xf>
    <xf numFmtId="166" fontId="4" fillId="0" borderId="1" xfId="4" applyNumberFormat="1" applyFont="1" applyFill="1" applyBorder="1" applyAlignment="1" applyProtection="1">
      <alignment horizontal="center" vertical="center"/>
    </xf>
    <xf numFmtId="0" fontId="4" fillId="0" borderId="1" xfId="0" applyFont="1" applyBorder="1" applyAlignment="1">
      <alignment horizontal="center" vertical="center" wrapText="1"/>
    </xf>
    <xf numFmtId="10" fontId="4" fillId="0" borderId="9" xfId="2" applyNumberFormat="1" applyFont="1" applyFill="1" applyBorder="1" applyAlignment="1" applyProtection="1">
      <alignment horizontal="left" vertical="center" wrapText="1"/>
    </xf>
    <xf numFmtId="164" fontId="4" fillId="0" borderId="9" xfId="4" applyFont="1" applyFill="1" applyBorder="1" applyAlignment="1" applyProtection="1">
      <alignment horizontal="left" vertical="center" wrapText="1"/>
    </xf>
    <xf numFmtId="164" fontId="4" fillId="0" borderId="10" xfId="4" applyFont="1" applyFill="1" applyBorder="1" applyAlignment="1" applyProtection="1">
      <alignment vertical="center" wrapText="1"/>
    </xf>
    <xf numFmtId="164" fontId="4" fillId="0" borderId="11" xfId="4" applyFont="1" applyFill="1" applyBorder="1" applyAlignment="1" applyProtection="1">
      <alignment vertical="center" wrapText="1"/>
    </xf>
    <xf numFmtId="0" fontId="3" fillId="4" borderId="4" xfId="0" applyFont="1" applyFill="1" applyBorder="1" applyAlignment="1">
      <alignment horizontal="left" vertical="center" wrapText="1"/>
    </xf>
    <xf numFmtId="0" fontId="3" fillId="4" borderId="3"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3" fillId="4" borderId="4" xfId="0" applyFont="1" applyFill="1" applyBorder="1" applyAlignment="1">
      <alignment horizontal="left" vertical="center"/>
    </xf>
    <xf numFmtId="0" fontId="4" fillId="0" borderId="0" xfId="3" applyFont="1" applyAlignment="1">
      <alignment horizontal="left" vertical="top" wrapText="1"/>
    </xf>
    <xf numFmtId="0" fontId="6" fillId="0" borderId="0" xfId="3" applyFont="1" applyAlignment="1">
      <alignment horizontal="center" vertical="top" wrapText="1"/>
    </xf>
    <xf numFmtId="0" fontId="3" fillId="0" borderId="2" xfId="3"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xf>
    <xf numFmtId="0" fontId="6" fillId="0" borderId="0" xfId="0" applyFont="1" applyAlignment="1">
      <alignment horizontal="center" vertical="top"/>
    </xf>
    <xf numFmtId="0" fontId="6" fillId="0" borderId="0" xfId="0" applyFont="1" applyAlignment="1">
      <alignment horizontal="center" vertical="top" wrapText="1"/>
    </xf>
  </cellXfs>
  <cellStyles count="11">
    <cellStyle name="Comma" xfId="4" builtinId="3"/>
    <cellStyle name="Comma [0]" xfId="1" builtinId="6"/>
    <cellStyle name="Comma 2" xfId="8" xr:uid="{00000000-0005-0000-0000-000002000000}"/>
    <cellStyle name="Normal" xfId="0" builtinId="0"/>
    <cellStyle name="Normal 2" xfId="3" xr:uid="{00000000-0005-0000-0000-000004000000}"/>
    <cellStyle name="Normal 3" xfId="6" xr:uid="{00000000-0005-0000-0000-000005000000}"/>
    <cellStyle name="Normal 4" xfId="7" xr:uid="{00000000-0005-0000-0000-000006000000}"/>
    <cellStyle name="Normal 5" xfId="10" xr:uid="{00000000-0005-0000-0000-000007000000}"/>
    <cellStyle name="Normal_Persona2" xfId="5" xr:uid="{00000000-0005-0000-0000-000008000000}"/>
    <cellStyle name="Per cent" xfId="2" builtinId="5"/>
    <cellStyle name="Percent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5"/>
  <sheetViews>
    <sheetView tabSelected="1" view="pageBreakPreview" topLeftCell="B17" zoomScale="80" zoomScaleNormal="80" zoomScaleSheetLayoutView="80" workbookViewId="0">
      <selection activeCell="E24" sqref="E24:E25"/>
    </sheetView>
  </sheetViews>
  <sheetFormatPr defaultColWidth="8.88671875" defaultRowHeight="13.5" x14ac:dyDescent="0.25"/>
  <cols>
    <col min="1" max="1" width="6.33203125" style="41" customWidth="1"/>
    <col min="2" max="2" width="33.88671875" style="41" customWidth="1"/>
    <col min="3" max="3" width="40.33203125" style="27" customWidth="1"/>
    <col min="4" max="4" width="9.33203125" style="41" customWidth="1"/>
    <col min="5" max="5" width="8.5546875" style="41" customWidth="1"/>
    <col min="6" max="6" width="10.44140625" style="41" customWidth="1"/>
    <col min="7" max="7" width="8.5546875" style="41" customWidth="1"/>
    <col min="8" max="8" width="17.109375" style="41" customWidth="1"/>
    <col min="9" max="9" width="13.44140625" style="41" customWidth="1"/>
    <col min="10" max="10" width="12.5546875" style="27" customWidth="1"/>
    <col min="11" max="11" width="34.6640625" style="27" customWidth="1"/>
    <col min="12" max="12" width="11.109375" style="27" bestFit="1" customWidth="1"/>
    <col min="13" max="13" width="9.33203125" style="27" bestFit="1" customWidth="1"/>
    <col min="14" max="17" width="8.88671875" style="27"/>
    <col min="18" max="19" width="6" style="27" bestFit="1" customWidth="1"/>
    <col min="20" max="20" width="7.21875" style="27" bestFit="1" customWidth="1"/>
    <col min="21" max="16384" width="8.88671875" style="27"/>
  </cols>
  <sheetData>
    <row r="1" spans="1:22" ht="24" customHeight="1" x14ac:dyDescent="0.25">
      <c r="A1" s="89" t="s">
        <v>146</v>
      </c>
      <c r="B1" s="90"/>
      <c r="C1" s="90"/>
      <c r="D1" s="90"/>
      <c r="E1" s="90"/>
      <c r="F1" s="90"/>
      <c r="G1" s="90"/>
      <c r="H1" s="90"/>
      <c r="I1" s="90"/>
      <c r="J1" s="90"/>
      <c r="K1" s="91"/>
    </row>
    <row r="2" spans="1:22" ht="74.25" customHeight="1" x14ac:dyDescent="0.25">
      <c r="A2" s="92"/>
      <c r="B2" s="93"/>
      <c r="C2" s="93"/>
      <c r="D2" s="93"/>
      <c r="E2" s="93"/>
      <c r="F2" s="94" t="s">
        <v>137</v>
      </c>
      <c r="G2" s="94"/>
      <c r="H2" s="88">
        <f>76000-34560</f>
        <v>41440</v>
      </c>
      <c r="I2" s="95" t="s">
        <v>147</v>
      </c>
      <c r="J2" s="96"/>
      <c r="K2" s="97"/>
      <c r="M2" s="87"/>
    </row>
    <row r="3" spans="1:22" s="47" customFormat="1" ht="65.25" customHeight="1" x14ac:dyDescent="0.25">
      <c r="A3" s="98" t="s">
        <v>0</v>
      </c>
      <c r="B3" s="99" t="s">
        <v>108</v>
      </c>
      <c r="C3" s="99" t="s">
        <v>109</v>
      </c>
      <c r="D3" s="75" t="s">
        <v>110</v>
      </c>
      <c r="E3" s="75" t="s">
        <v>2</v>
      </c>
      <c r="F3" s="75" t="s">
        <v>111</v>
      </c>
      <c r="G3" s="75" t="s">
        <v>112</v>
      </c>
      <c r="H3" s="75" t="s">
        <v>128</v>
      </c>
      <c r="I3" s="75" t="s">
        <v>113</v>
      </c>
      <c r="J3" s="46" t="s">
        <v>114</v>
      </c>
      <c r="K3" s="62" t="s">
        <v>21</v>
      </c>
    </row>
    <row r="4" spans="1:22" ht="31.5" customHeight="1" x14ac:dyDescent="0.25">
      <c r="A4" s="98"/>
      <c r="B4" s="99"/>
      <c r="C4" s="99"/>
      <c r="D4" s="44"/>
      <c r="E4" s="44" t="s">
        <v>28</v>
      </c>
      <c r="F4" s="75" t="s">
        <v>29</v>
      </c>
      <c r="G4" s="75" t="s">
        <v>64</v>
      </c>
      <c r="H4" s="75" t="s">
        <v>115</v>
      </c>
      <c r="I4" s="75" t="s">
        <v>116</v>
      </c>
      <c r="J4" s="43"/>
      <c r="K4" s="63"/>
    </row>
    <row r="5" spans="1:22" s="48" customFormat="1" ht="12" customHeight="1" x14ac:dyDescent="0.25">
      <c r="A5" s="64"/>
      <c r="B5" s="100"/>
      <c r="C5" s="100"/>
      <c r="D5" s="100"/>
      <c r="E5" s="100"/>
      <c r="F5" s="100"/>
      <c r="G5" s="100"/>
      <c r="H5" s="100"/>
      <c r="I5" s="100"/>
      <c r="J5" s="100"/>
      <c r="K5" s="101"/>
    </row>
    <row r="6" spans="1:22" ht="18" customHeight="1" x14ac:dyDescent="0.25">
      <c r="A6" s="102">
        <v>1</v>
      </c>
      <c r="B6" s="103" t="s">
        <v>144</v>
      </c>
      <c r="C6" s="49" t="s">
        <v>129</v>
      </c>
      <c r="D6" s="40">
        <v>1</v>
      </c>
      <c r="E6" s="104">
        <v>0.5</v>
      </c>
      <c r="F6" s="105" t="s">
        <v>136</v>
      </c>
      <c r="G6" s="106">
        <f>+D7</f>
        <v>0.95</v>
      </c>
      <c r="H6" s="107">
        <f>E6*$H$2</f>
        <v>20720</v>
      </c>
      <c r="I6" s="107">
        <f>G6*H6</f>
        <v>19684</v>
      </c>
      <c r="J6" s="108" t="s">
        <v>117</v>
      </c>
      <c r="K6" s="109"/>
      <c r="R6" s="41"/>
      <c r="S6" s="41"/>
      <c r="T6" s="41"/>
      <c r="U6" s="41"/>
      <c r="V6" s="41"/>
    </row>
    <row r="7" spans="1:22" ht="18" customHeight="1" x14ac:dyDescent="0.25">
      <c r="A7" s="102"/>
      <c r="B7" s="103"/>
      <c r="C7" s="43" t="s">
        <v>130</v>
      </c>
      <c r="D7" s="40">
        <v>0.95</v>
      </c>
      <c r="E7" s="104"/>
      <c r="F7" s="105"/>
      <c r="G7" s="106"/>
      <c r="H7" s="107"/>
      <c r="I7" s="107"/>
      <c r="J7" s="108"/>
      <c r="K7" s="109"/>
      <c r="O7" s="58"/>
      <c r="P7" s="58"/>
      <c r="R7" s="41"/>
      <c r="S7" s="41"/>
      <c r="T7" s="41"/>
      <c r="U7" s="41"/>
      <c r="V7" s="41"/>
    </row>
    <row r="8" spans="1:22" ht="18" customHeight="1" x14ac:dyDescent="0.25">
      <c r="A8" s="102"/>
      <c r="B8" s="103"/>
      <c r="C8" s="43" t="s">
        <v>131</v>
      </c>
      <c r="D8" s="40">
        <v>0.9</v>
      </c>
      <c r="E8" s="104"/>
      <c r="F8" s="105"/>
      <c r="G8" s="106"/>
      <c r="H8" s="107"/>
      <c r="I8" s="107"/>
      <c r="J8" s="108"/>
      <c r="K8" s="109"/>
      <c r="O8" s="58"/>
      <c r="P8" s="58"/>
      <c r="R8" s="55"/>
      <c r="S8" s="55"/>
      <c r="T8" s="55"/>
      <c r="U8" s="55"/>
      <c r="V8" s="55"/>
    </row>
    <row r="9" spans="1:22" ht="18" customHeight="1" x14ac:dyDescent="0.25">
      <c r="A9" s="102"/>
      <c r="B9" s="103"/>
      <c r="C9" s="43" t="s">
        <v>132</v>
      </c>
      <c r="D9" s="40">
        <v>0.8</v>
      </c>
      <c r="E9" s="104"/>
      <c r="F9" s="105"/>
      <c r="G9" s="106"/>
      <c r="H9" s="107"/>
      <c r="I9" s="107"/>
      <c r="J9" s="108"/>
      <c r="K9" s="109"/>
      <c r="O9" s="58"/>
      <c r="P9" s="58"/>
      <c r="R9" s="56"/>
      <c r="S9" s="56"/>
      <c r="T9" s="56"/>
      <c r="U9" s="56"/>
      <c r="V9" s="56"/>
    </row>
    <row r="10" spans="1:22" ht="18" customHeight="1" x14ac:dyDescent="0.25">
      <c r="A10" s="102"/>
      <c r="B10" s="103"/>
      <c r="C10" s="43" t="s">
        <v>133</v>
      </c>
      <c r="D10" s="40">
        <v>0.75</v>
      </c>
      <c r="E10" s="104"/>
      <c r="F10" s="105"/>
      <c r="G10" s="106"/>
      <c r="H10" s="107"/>
      <c r="I10" s="107"/>
      <c r="J10" s="108"/>
      <c r="K10" s="109"/>
      <c r="O10" s="58"/>
      <c r="P10" s="58"/>
      <c r="R10" s="56"/>
      <c r="S10" s="56"/>
      <c r="T10" s="56"/>
      <c r="U10" s="56"/>
      <c r="V10" s="56"/>
    </row>
    <row r="11" spans="1:22" ht="18" customHeight="1" x14ac:dyDescent="0.25">
      <c r="A11" s="102"/>
      <c r="B11" s="103"/>
      <c r="C11" s="43" t="s">
        <v>134</v>
      </c>
      <c r="D11" s="40">
        <v>0.7</v>
      </c>
      <c r="E11" s="104"/>
      <c r="F11" s="105"/>
      <c r="G11" s="106"/>
      <c r="H11" s="107"/>
      <c r="I11" s="107"/>
      <c r="J11" s="108"/>
      <c r="K11" s="109"/>
      <c r="O11" s="58"/>
      <c r="P11" s="58"/>
      <c r="R11" s="56"/>
      <c r="S11" s="56"/>
      <c r="T11" s="56"/>
      <c r="U11" s="56"/>
      <c r="V11" s="56"/>
    </row>
    <row r="12" spans="1:22" ht="18" customHeight="1" x14ac:dyDescent="0.25">
      <c r="A12" s="102"/>
      <c r="B12" s="103"/>
      <c r="C12" s="43" t="s">
        <v>135</v>
      </c>
      <c r="D12" s="40">
        <v>0</v>
      </c>
      <c r="E12" s="104"/>
      <c r="F12" s="105"/>
      <c r="G12" s="106"/>
      <c r="H12" s="107"/>
      <c r="I12" s="107"/>
      <c r="J12" s="108"/>
      <c r="K12" s="109"/>
      <c r="O12" s="58"/>
      <c r="P12" s="58"/>
      <c r="R12" s="57"/>
      <c r="S12" s="57"/>
      <c r="T12" s="57"/>
      <c r="U12" s="57"/>
      <c r="V12" s="57"/>
    </row>
    <row r="13" spans="1:22" ht="18" customHeight="1" x14ac:dyDescent="0.25">
      <c r="A13" s="65"/>
      <c r="B13" s="61"/>
      <c r="C13" s="42"/>
      <c r="D13" s="61"/>
      <c r="E13" s="61"/>
      <c r="F13" s="45"/>
      <c r="G13" s="61"/>
      <c r="H13" s="61"/>
      <c r="I13" s="61"/>
      <c r="J13" s="42"/>
      <c r="K13" s="63"/>
    </row>
    <row r="14" spans="1:22" ht="35.1" customHeight="1" x14ac:dyDescent="0.25">
      <c r="A14" s="102">
        <v>2</v>
      </c>
      <c r="B14" s="103" t="s">
        <v>140</v>
      </c>
      <c r="C14" s="43" t="s">
        <v>120</v>
      </c>
      <c r="D14" s="40">
        <v>1</v>
      </c>
      <c r="E14" s="104">
        <v>0.15</v>
      </c>
      <c r="F14" s="105" t="s">
        <v>122</v>
      </c>
      <c r="G14" s="106">
        <f>+D16</f>
        <v>0.7</v>
      </c>
      <c r="H14" s="107">
        <f>E14*$H$2</f>
        <v>6216</v>
      </c>
      <c r="I14" s="107">
        <f>G14*H14</f>
        <v>4351.2</v>
      </c>
      <c r="J14" s="108" t="s">
        <v>117</v>
      </c>
      <c r="K14" s="110"/>
    </row>
    <row r="15" spans="1:22" ht="35.1" customHeight="1" x14ac:dyDescent="0.25">
      <c r="A15" s="102"/>
      <c r="B15" s="103"/>
      <c r="C15" s="43" t="s">
        <v>121</v>
      </c>
      <c r="D15" s="40">
        <v>0.85</v>
      </c>
      <c r="E15" s="104"/>
      <c r="F15" s="105"/>
      <c r="G15" s="106"/>
      <c r="H15" s="107"/>
      <c r="I15" s="107"/>
      <c r="J15" s="108"/>
      <c r="K15" s="110"/>
    </row>
    <row r="16" spans="1:22" ht="35.1" customHeight="1" x14ac:dyDescent="0.25">
      <c r="A16" s="102"/>
      <c r="B16" s="103"/>
      <c r="C16" s="43" t="s">
        <v>122</v>
      </c>
      <c r="D16" s="40">
        <v>0.7</v>
      </c>
      <c r="E16" s="104"/>
      <c r="F16" s="105"/>
      <c r="G16" s="106"/>
      <c r="H16" s="107"/>
      <c r="I16" s="107"/>
      <c r="J16" s="108"/>
      <c r="K16" s="110"/>
    </row>
    <row r="17" spans="1:11" ht="39" customHeight="1" x14ac:dyDescent="0.25">
      <c r="A17" s="102"/>
      <c r="B17" s="103"/>
      <c r="C17" s="43" t="s">
        <v>123</v>
      </c>
      <c r="D17" s="40">
        <v>0</v>
      </c>
      <c r="E17" s="104"/>
      <c r="F17" s="105"/>
      <c r="G17" s="106"/>
      <c r="H17" s="107"/>
      <c r="I17" s="107"/>
      <c r="J17" s="108"/>
      <c r="K17" s="110"/>
    </row>
    <row r="18" spans="1:11" ht="27" customHeight="1" x14ac:dyDescent="0.25">
      <c r="A18" s="76"/>
      <c r="B18" s="77"/>
      <c r="C18" s="43"/>
      <c r="D18" s="40"/>
      <c r="E18" s="82"/>
      <c r="F18" s="78"/>
      <c r="G18" s="40"/>
      <c r="H18" s="79"/>
      <c r="I18" s="79"/>
      <c r="J18" s="80"/>
      <c r="K18" s="81"/>
    </row>
    <row r="19" spans="1:11" ht="24.95" customHeight="1" x14ac:dyDescent="0.25">
      <c r="A19" s="102">
        <v>3</v>
      </c>
      <c r="B19" s="103" t="s">
        <v>118</v>
      </c>
      <c r="C19" s="43" t="s">
        <v>126</v>
      </c>
      <c r="D19" s="40">
        <v>1</v>
      </c>
      <c r="E19" s="104">
        <v>0.25</v>
      </c>
      <c r="F19" s="105" t="s">
        <v>127</v>
      </c>
      <c r="G19" s="106">
        <f>+D20</f>
        <v>0.7</v>
      </c>
      <c r="H19" s="107">
        <f>E19*$H$2</f>
        <v>10360</v>
      </c>
      <c r="I19" s="107">
        <f>G19*H19</f>
        <v>7251.9999999999991</v>
      </c>
      <c r="J19" s="108" t="s">
        <v>117</v>
      </c>
      <c r="K19" s="110"/>
    </row>
    <row r="20" spans="1:11" ht="24.95" customHeight="1" x14ac:dyDescent="0.25">
      <c r="A20" s="102"/>
      <c r="B20" s="103"/>
      <c r="C20" s="43" t="s">
        <v>127</v>
      </c>
      <c r="D20" s="40">
        <v>0.7</v>
      </c>
      <c r="E20" s="104"/>
      <c r="F20" s="105"/>
      <c r="G20" s="106"/>
      <c r="H20" s="107"/>
      <c r="I20" s="107"/>
      <c r="J20" s="108"/>
      <c r="K20" s="110"/>
    </row>
    <row r="21" spans="1:11" ht="24.95" customHeight="1" x14ac:dyDescent="0.25">
      <c r="A21" s="102"/>
      <c r="B21" s="103"/>
      <c r="C21" s="43" t="s">
        <v>124</v>
      </c>
      <c r="D21" s="40">
        <v>0.4</v>
      </c>
      <c r="E21" s="104"/>
      <c r="F21" s="105"/>
      <c r="G21" s="106"/>
      <c r="H21" s="107"/>
      <c r="I21" s="107"/>
      <c r="J21" s="108"/>
      <c r="K21" s="110"/>
    </row>
    <row r="22" spans="1:11" ht="24.95" customHeight="1" x14ac:dyDescent="0.25">
      <c r="A22" s="102"/>
      <c r="B22" s="103"/>
      <c r="C22" s="43" t="s">
        <v>125</v>
      </c>
      <c r="D22" s="40">
        <v>0</v>
      </c>
      <c r="E22" s="104"/>
      <c r="F22" s="105"/>
      <c r="G22" s="106"/>
      <c r="H22" s="107"/>
      <c r="I22" s="107"/>
      <c r="J22" s="108"/>
      <c r="K22" s="110"/>
    </row>
    <row r="23" spans="1:11" ht="24.95" customHeight="1" x14ac:dyDescent="0.25">
      <c r="A23" s="76"/>
      <c r="B23" s="77"/>
      <c r="C23" s="43"/>
      <c r="D23" s="40"/>
      <c r="E23" s="82"/>
      <c r="F23" s="78"/>
      <c r="G23" s="40"/>
      <c r="H23" s="79"/>
      <c r="I23" s="79"/>
      <c r="J23" s="80"/>
      <c r="K23" s="81"/>
    </row>
    <row r="24" spans="1:11" ht="30" customHeight="1" x14ac:dyDescent="0.25">
      <c r="A24" s="102">
        <v>4</v>
      </c>
      <c r="B24" s="103" t="s">
        <v>119</v>
      </c>
      <c r="C24" s="43" t="s">
        <v>120</v>
      </c>
      <c r="D24" s="40">
        <v>1</v>
      </c>
      <c r="E24" s="104">
        <v>0.1</v>
      </c>
      <c r="F24" s="105" t="s">
        <v>120</v>
      </c>
      <c r="G24" s="106">
        <v>1</v>
      </c>
      <c r="H24" s="107">
        <f>E24*$H$2</f>
        <v>4144</v>
      </c>
      <c r="I24" s="107">
        <f>G24*H24</f>
        <v>4144</v>
      </c>
      <c r="J24" s="108" t="s">
        <v>117</v>
      </c>
      <c r="K24" s="111" t="s">
        <v>139</v>
      </c>
    </row>
    <row r="25" spans="1:11" ht="30" customHeight="1" x14ac:dyDescent="0.25">
      <c r="A25" s="102"/>
      <c r="B25" s="103"/>
      <c r="C25" s="43" t="s">
        <v>121</v>
      </c>
      <c r="D25" s="40">
        <v>0</v>
      </c>
      <c r="E25" s="104"/>
      <c r="F25" s="105"/>
      <c r="G25" s="106"/>
      <c r="H25" s="107"/>
      <c r="I25" s="107"/>
      <c r="J25" s="108"/>
      <c r="K25" s="112"/>
    </row>
    <row r="26" spans="1:11" ht="18" customHeight="1" x14ac:dyDescent="0.25">
      <c r="A26" s="66"/>
      <c r="B26" s="44"/>
      <c r="C26" s="50"/>
      <c r="D26" s="44"/>
      <c r="E26" s="44"/>
      <c r="F26" s="44"/>
      <c r="G26" s="44"/>
      <c r="H26" s="44"/>
      <c r="I26" s="44"/>
      <c r="J26" s="42"/>
      <c r="K26" s="67"/>
    </row>
    <row r="27" spans="1:11" ht="24.95" customHeight="1" x14ac:dyDescent="0.25">
      <c r="A27" s="68">
        <v>5</v>
      </c>
      <c r="B27" s="59" t="s">
        <v>138</v>
      </c>
      <c r="C27" s="54"/>
      <c r="D27" s="51"/>
      <c r="E27" s="51"/>
      <c r="F27" s="51"/>
      <c r="G27" s="51"/>
      <c r="H27" s="52">
        <f>SUM(H6,H14,H19,H24)</f>
        <v>41440</v>
      </c>
      <c r="I27" s="52">
        <f>SUM(I6,I14,I19,I24)</f>
        <v>35431.199999999997</v>
      </c>
      <c r="J27" s="53"/>
      <c r="K27" s="69"/>
    </row>
    <row r="28" spans="1:11" ht="24.95" customHeight="1" x14ac:dyDescent="0.25">
      <c r="A28" s="68">
        <v>6</v>
      </c>
      <c r="B28" s="86" t="s">
        <v>145</v>
      </c>
      <c r="C28" s="83"/>
      <c r="D28" s="51"/>
      <c r="E28" s="51"/>
      <c r="F28" s="51"/>
      <c r="G28" s="51"/>
      <c r="H28" s="52">
        <f>34560+H27</f>
        <v>76000</v>
      </c>
      <c r="I28" s="52">
        <f>H28</f>
        <v>76000</v>
      </c>
      <c r="J28" s="53"/>
      <c r="K28" s="69"/>
    </row>
    <row r="29" spans="1:11" ht="27.75" customHeight="1" x14ac:dyDescent="0.25">
      <c r="A29" s="68">
        <v>7</v>
      </c>
      <c r="B29" s="117" t="s">
        <v>143</v>
      </c>
      <c r="C29" s="114"/>
      <c r="D29" s="51"/>
      <c r="E29" s="51"/>
      <c r="F29" s="51"/>
      <c r="G29" s="51"/>
      <c r="H29" s="84">
        <f>H28</f>
        <v>76000</v>
      </c>
      <c r="I29" s="52">
        <f>H29-(H2-I27)</f>
        <v>69991.199999999997</v>
      </c>
      <c r="J29" s="53"/>
      <c r="K29" s="69"/>
    </row>
    <row r="30" spans="1:11" ht="93" hidden="1" customHeight="1" x14ac:dyDescent="0.25">
      <c r="A30" s="68">
        <v>8</v>
      </c>
      <c r="B30" s="113" t="s">
        <v>142</v>
      </c>
      <c r="C30" s="114"/>
      <c r="D30" s="51"/>
      <c r="E30" s="51"/>
      <c r="F30" s="51"/>
      <c r="G30" s="51"/>
      <c r="H30" s="85">
        <f>18.37*150</f>
        <v>2755.5</v>
      </c>
      <c r="I30" s="85">
        <f>18.37*150</f>
        <v>2755.5</v>
      </c>
      <c r="J30" s="53"/>
      <c r="K30" s="69"/>
    </row>
    <row r="31" spans="1:11" ht="35.25" hidden="1" customHeight="1" thickBot="1" x14ac:dyDescent="0.3">
      <c r="A31" s="70">
        <v>9</v>
      </c>
      <c r="B31" s="115" t="s">
        <v>141</v>
      </c>
      <c r="C31" s="116"/>
      <c r="D31" s="71"/>
      <c r="E31" s="71"/>
      <c r="F31" s="71"/>
      <c r="G31" s="71"/>
      <c r="H31" s="72">
        <f>H29+H30</f>
        <v>78755.5</v>
      </c>
      <c r="I31" s="72">
        <f>I29+I30</f>
        <v>72746.7</v>
      </c>
      <c r="J31" s="73"/>
      <c r="K31" s="74"/>
    </row>
    <row r="34" spans="9:9" x14ac:dyDescent="0.25">
      <c r="I34" s="60"/>
    </row>
    <row r="35" spans="9:9" x14ac:dyDescent="0.25">
      <c r="I35" s="60"/>
    </row>
  </sheetData>
  <protectedRanges>
    <protectedRange sqref="K30:K31 J5:K12 G6 B4:D4 K39 D33:D36 C37:J38 A5:B12 K14:K18 F33:G36 D39:D42 K41:K42 A43:K44 I33:J36 H6:I12 A14 B13:F13 F39:J42 A33:B42 H13:J18 K33:K37 A32:I32 G8:G15 G17:G20 A16:A19 G22:G25 A21:A24 H19:K25 E14:F25 B14:B25 D6:F12 A26:J31" name="Range1"/>
  </protectedRanges>
  <mergeCells count="47">
    <mergeCell ref="K24:K25"/>
    <mergeCell ref="B30:C30"/>
    <mergeCell ref="B31:C31"/>
    <mergeCell ref="J19:J22"/>
    <mergeCell ref="K19:K22"/>
    <mergeCell ref="H24:H25"/>
    <mergeCell ref="I24:I25"/>
    <mergeCell ref="J24:J25"/>
    <mergeCell ref="B29:C29"/>
    <mergeCell ref="A24:A25"/>
    <mergeCell ref="B24:B25"/>
    <mergeCell ref="E24:E25"/>
    <mergeCell ref="F24:F25"/>
    <mergeCell ref="G24:G25"/>
    <mergeCell ref="I14:I17"/>
    <mergeCell ref="J14:J17"/>
    <mergeCell ref="K14:K17"/>
    <mergeCell ref="A19:A22"/>
    <mergeCell ref="B19:B22"/>
    <mergeCell ref="E19:E22"/>
    <mergeCell ref="F19:F22"/>
    <mergeCell ref="G19:G22"/>
    <mergeCell ref="H19:H22"/>
    <mergeCell ref="I19:I22"/>
    <mergeCell ref="A14:A17"/>
    <mergeCell ref="B14:B17"/>
    <mergeCell ref="E14:E17"/>
    <mergeCell ref="F14:F17"/>
    <mergeCell ref="G14:G17"/>
    <mergeCell ref="H14:H17"/>
    <mergeCell ref="B5:K5"/>
    <mergeCell ref="A6:A12"/>
    <mergeCell ref="B6:B12"/>
    <mergeCell ref="E6:E12"/>
    <mergeCell ref="F6:F12"/>
    <mergeCell ref="G6:G12"/>
    <mergeCell ref="H6:H12"/>
    <mergeCell ref="I6:I12"/>
    <mergeCell ref="J6:J12"/>
    <mergeCell ref="K6:K12"/>
    <mergeCell ref="A1:K1"/>
    <mergeCell ref="A2:E2"/>
    <mergeCell ref="F2:G2"/>
    <mergeCell ref="I2:K2"/>
    <mergeCell ref="A3:A4"/>
    <mergeCell ref="B3:B4"/>
    <mergeCell ref="C3:C4"/>
  </mergeCells>
  <printOptions horizontalCentered="1"/>
  <pageMargins left="0.70866141732283472" right="0.70866141732283472" top="0.74803149606299213" bottom="0.74803149606299213" header="0.31496062992125984" footer="0.31496062992125984"/>
  <pageSetup paperSize="9" scale="54" orientation="landscape" r:id="rId1"/>
  <headerFooter>
    <oddFooter>&amp;CPage&amp;P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opLeftCell="A4" workbookViewId="0">
      <selection activeCell="G4" sqref="G4"/>
    </sheetView>
  </sheetViews>
  <sheetFormatPr defaultColWidth="8.88671875" defaultRowHeight="13.5" x14ac:dyDescent="0.25"/>
  <cols>
    <col min="1" max="1" width="4.6640625" style="11" bestFit="1" customWidth="1"/>
    <col min="2" max="2" width="43.6640625" style="11" customWidth="1"/>
    <col min="3" max="3" width="9.109375" style="12" bestFit="1" customWidth="1"/>
    <col min="4" max="4" width="9.44140625" style="11" bestFit="1" customWidth="1"/>
    <col min="5" max="5" width="8.88671875" style="11"/>
    <col min="6" max="6" width="10.5546875" style="11" bestFit="1" customWidth="1"/>
    <col min="7" max="16384" width="8.88671875" style="11"/>
  </cols>
  <sheetData>
    <row r="1" spans="1:4" ht="30" customHeight="1" x14ac:dyDescent="0.25">
      <c r="A1" s="119" t="s">
        <v>33</v>
      </c>
      <c r="B1" s="119"/>
      <c r="C1" s="119"/>
      <c r="D1" s="119"/>
    </row>
    <row r="2" spans="1:4" ht="37.5" customHeight="1" x14ac:dyDescent="0.25">
      <c r="A2" s="119" t="s">
        <v>35</v>
      </c>
      <c r="B2" s="119"/>
      <c r="C2" s="119"/>
      <c r="D2" s="119"/>
    </row>
    <row r="3" spans="1:4" s="1" customFormat="1" ht="21" customHeight="1" x14ac:dyDescent="0.25">
      <c r="A3" s="7" t="s">
        <v>7</v>
      </c>
      <c r="C3" s="8"/>
    </row>
    <row r="4" spans="1:4" s="1" customFormat="1" ht="21" customHeight="1" x14ac:dyDescent="0.25">
      <c r="A4" s="7" t="s">
        <v>27</v>
      </c>
      <c r="C4" s="8"/>
    </row>
    <row r="5" spans="1:4" s="1" customFormat="1" ht="21" customHeight="1" x14ac:dyDescent="0.25">
      <c r="A5" s="120" t="s">
        <v>54</v>
      </c>
      <c r="B5" s="120"/>
      <c r="C5" s="120"/>
      <c r="D5" s="120"/>
    </row>
    <row r="6" spans="1:4" s="4" customFormat="1" ht="27" x14ac:dyDescent="0.25">
      <c r="A6" s="2" t="s">
        <v>0</v>
      </c>
      <c r="B6" s="3" t="s">
        <v>1</v>
      </c>
      <c r="C6" s="2" t="s">
        <v>4</v>
      </c>
      <c r="D6" s="2" t="s">
        <v>5</v>
      </c>
    </row>
    <row r="7" spans="1:4" s="4" customFormat="1" x14ac:dyDescent="0.25">
      <c r="A7" s="5">
        <v>1</v>
      </c>
      <c r="B7" s="6" t="s">
        <v>40</v>
      </c>
      <c r="C7" s="5" t="s">
        <v>43</v>
      </c>
      <c r="D7" s="9">
        <v>10000</v>
      </c>
    </row>
    <row r="8" spans="1:4" s="4" customFormat="1" x14ac:dyDescent="0.25">
      <c r="A8" s="5">
        <v>2</v>
      </c>
      <c r="B8" s="6" t="s">
        <v>50</v>
      </c>
      <c r="C8" s="5" t="s">
        <v>12</v>
      </c>
      <c r="D8" s="9">
        <v>10</v>
      </c>
    </row>
    <row r="9" spans="1:4" s="4" customFormat="1" x14ac:dyDescent="0.25">
      <c r="A9" s="5">
        <v>3</v>
      </c>
      <c r="B9" s="6" t="s">
        <v>45</v>
      </c>
      <c r="C9" s="5" t="s">
        <v>41</v>
      </c>
      <c r="D9" s="9">
        <f>+D8*305</f>
        <v>3050</v>
      </c>
    </row>
    <row r="10" spans="1:4" s="4" customFormat="1" ht="27" x14ac:dyDescent="0.25">
      <c r="A10" s="5">
        <v>4</v>
      </c>
      <c r="B10" s="6" t="s">
        <v>38</v>
      </c>
      <c r="C10" s="5" t="s">
        <v>42</v>
      </c>
      <c r="D10" s="9">
        <f>+D7*D8*12</f>
        <v>1200000</v>
      </c>
    </row>
    <row r="11" spans="1:4" s="4" customFormat="1" x14ac:dyDescent="0.25">
      <c r="A11" s="5">
        <v>5</v>
      </c>
      <c r="B11" s="6" t="s">
        <v>39</v>
      </c>
      <c r="C11" s="5" t="s">
        <v>43</v>
      </c>
      <c r="D11" s="9">
        <v>12000</v>
      </c>
    </row>
    <row r="12" spans="1:4" s="4" customFormat="1" x14ac:dyDescent="0.25">
      <c r="A12" s="5">
        <v>6</v>
      </c>
      <c r="B12" s="6" t="s">
        <v>51</v>
      </c>
      <c r="C12" s="5" t="s">
        <v>12</v>
      </c>
      <c r="D12" s="9">
        <v>1</v>
      </c>
    </row>
    <row r="13" spans="1:4" s="4" customFormat="1" x14ac:dyDescent="0.25">
      <c r="A13" s="5">
        <v>7</v>
      </c>
      <c r="B13" s="6" t="s">
        <v>46</v>
      </c>
      <c r="C13" s="5" t="s">
        <v>12</v>
      </c>
      <c r="D13" s="9">
        <f>+D12*365</f>
        <v>365</v>
      </c>
    </row>
    <row r="14" spans="1:4" s="4" customFormat="1" ht="27" x14ac:dyDescent="0.25">
      <c r="A14" s="5">
        <v>8</v>
      </c>
      <c r="B14" s="6" t="s">
        <v>44</v>
      </c>
      <c r="C14" s="5" t="s">
        <v>42</v>
      </c>
      <c r="D14" s="9">
        <f>+D11*D12*12</f>
        <v>144000</v>
      </c>
    </row>
    <row r="15" spans="1:4" s="4" customFormat="1" x14ac:dyDescent="0.25">
      <c r="A15" s="5">
        <v>9</v>
      </c>
      <c r="B15" s="6" t="s">
        <v>48</v>
      </c>
      <c r="C15" s="5" t="s">
        <v>42</v>
      </c>
      <c r="D15" s="9">
        <f>+D14+D10</f>
        <v>1344000</v>
      </c>
    </row>
    <row r="16" spans="1:4" s="4" customFormat="1" x14ac:dyDescent="0.25">
      <c r="A16" s="5">
        <v>10</v>
      </c>
      <c r="B16" s="6" t="s">
        <v>47</v>
      </c>
      <c r="C16" s="5" t="s">
        <v>55</v>
      </c>
      <c r="D16" s="9">
        <f>+D9+D13</f>
        <v>3415</v>
      </c>
    </row>
    <row r="17" spans="1:4" s="4" customFormat="1" ht="27" x14ac:dyDescent="0.25">
      <c r="A17" s="5">
        <v>11</v>
      </c>
      <c r="B17" s="6" t="s">
        <v>13</v>
      </c>
      <c r="C17" s="5" t="s">
        <v>8</v>
      </c>
      <c r="D17" s="10">
        <f>ROUND(D15/D16,0)</f>
        <v>394</v>
      </c>
    </row>
    <row r="18" spans="1:4" ht="21" customHeight="1" x14ac:dyDescent="0.25"/>
    <row r="19" spans="1:4" ht="21" customHeight="1" x14ac:dyDescent="0.25">
      <c r="A19" s="120" t="s">
        <v>36</v>
      </c>
      <c r="B19" s="120"/>
      <c r="C19" s="120"/>
      <c r="D19" s="120"/>
    </row>
    <row r="20" spans="1:4" ht="27" x14ac:dyDescent="0.25">
      <c r="A20" s="2" t="s">
        <v>0</v>
      </c>
      <c r="B20" s="3" t="s">
        <v>1</v>
      </c>
      <c r="C20" s="2" t="s">
        <v>4</v>
      </c>
      <c r="D20" s="2" t="s">
        <v>5</v>
      </c>
    </row>
    <row r="21" spans="1:4" x14ac:dyDescent="0.25">
      <c r="A21" s="5">
        <v>12</v>
      </c>
      <c r="B21" s="6" t="s">
        <v>9</v>
      </c>
      <c r="C21" s="5" t="s">
        <v>11</v>
      </c>
      <c r="D21" s="9">
        <v>26</v>
      </c>
    </row>
    <row r="22" spans="1:4" x14ac:dyDescent="0.25">
      <c r="A22" s="5">
        <v>13</v>
      </c>
      <c r="B22" s="6" t="s">
        <v>14</v>
      </c>
      <c r="C22" s="5" t="s">
        <v>11</v>
      </c>
      <c r="D22" s="9">
        <v>31</v>
      </c>
    </row>
    <row r="23" spans="1:4" ht="27" x14ac:dyDescent="0.25">
      <c r="A23" s="5">
        <v>14</v>
      </c>
      <c r="B23" s="6" t="s">
        <v>49</v>
      </c>
      <c r="C23" s="5" t="s">
        <v>10</v>
      </c>
      <c r="D23" s="9">
        <f>D8*D21+D12*D22</f>
        <v>291</v>
      </c>
    </row>
    <row r="24" spans="1:4" x14ac:dyDescent="0.25">
      <c r="A24" s="5">
        <v>15</v>
      </c>
      <c r="B24" s="6" t="s">
        <v>53</v>
      </c>
      <c r="C24" s="5" t="s">
        <v>10</v>
      </c>
      <c r="D24" s="9">
        <f>ROUND(D23*90%,0)</f>
        <v>262</v>
      </c>
    </row>
    <row r="25" spans="1:4" x14ac:dyDescent="0.25">
      <c r="A25" s="5">
        <v>16</v>
      </c>
      <c r="B25" s="6" t="s">
        <v>52</v>
      </c>
      <c r="C25" s="5" t="s">
        <v>10</v>
      </c>
      <c r="D25" s="9">
        <v>260</v>
      </c>
    </row>
    <row r="26" spans="1:4" ht="27" x14ac:dyDescent="0.25">
      <c r="A26" s="5">
        <v>17</v>
      </c>
      <c r="B26" s="6" t="s">
        <v>37</v>
      </c>
      <c r="C26" s="5" t="s">
        <v>6</v>
      </c>
      <c r="D26" s="9">
        <f>ROUND(IF(D25&lt;D24,(D23-D25)*D17*1.5,(D23-D25)*D17),0)</f>
        <v>18321</v>
      </c>
    </row>
    <row r="28" spans="1:4" ht="21" customHeight="1" x14ac:dyDescent="0.25">
      <c r="A28" s="13"/>
      <c r="B28" s="14" t="s">
        <v>15</v>
      </c>
      <c r="C28" s="15"/>
      <c r="D28" s="13"/>
    </row>
    <row r="29" spans="1:4" ht="27" customHeight="1" x14ac:dyDescent="0.25">
      <c r="A29" s="15">
        <v>1</v>
      </c>
      <c r="B29" s="118" t="s">
        <v>16</v>
      </c>
      <c r="C29" s="118"/>
      <c r="D29" s="118"/>
    </row>
    <row r="30" spans="1:4" ht="27" customHeight="1" x14ac:dyDescent="0.25">
      <c r="A30" s="15">
        <v>2</v>
      </c>
      <c r="B30" s="118" t="s">
        <v>26</v>
      </c>
      <c r="C30" s="118"/>
      <c r="D30" s="118"/>
    </row>
  </sheetData>
  <mergeCells count="6">
    <mergeCell ref="B30:D30"/>
    <mergeCell ref="B29:D29"/>
    <mergeCell ref="A1:D1"/>
    <mergeCell ref="A2:D2"/>
    <mergeCell ref="A19:D19"/>
    <mergeCell ref="A5:D5"/>
  </mergeCells>
  <printOptions horizontalCentered="1"/>
  <pageMargins left="0.9055118110236221" right="0.70866141732283472" top="0.94488188976377963" bottom="0.94488188976377963" header="0.31496062992125984" footer="0.39370078740157483"/>
  <pageSetup paperSize="9" orientation="portrait" r:id="rId1"/>
  <headerFooter>
    <oddFooter xml:space="preserve">&amp;LAdani Ports and SEZ Ltd.
NIT No.: 01 / 2018
&amp;CSchedule-7 (Part-G)
Illustration for Calculation of LD
Against Shortfall in Manpower Deployment&amp;RPage &amp;P of &amp;N
</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7"/>
  <sheetViews>
    <sheetView workbookViewId="0">
      <selection activeCell="E8" sqref="E8"/>
    </sheetView>
  </sheetViews>
  <sheetFormatPr defaultRowHeight="13.5" x14ac:dyDescent="0.25"/>
  <cols>
    <col min="1" max="1" width="4.109375" customWidth="1"/>
    <col min="2" max="2" width="23.6640625" customWidth="1"/>
    <col min="3" max="3" width="6.6640625" bestFit="1" customWidth="1"/>
    <col min="4" max="5" width="9.5546875" bestFit="1" customWidth="1"/>
    <col min="6" max="6" width="9.33203125" bestFit="1" customWidth="1"/>
    <col min="7" max="7" width="19.33203125" bestFit="1" customWidth="1"/>
  </cols>
  <sheetData>
    <row r="1" spans="1:7" ht="30" customHeight="1" x14ac:dyDescent="0.25">
      <c r="A1" s="123" t="s">
        <v>34</v>
      </c>
      <c r="B1" s="123"/>
      <c r="C1" s="123"/>
      <c r="D1" s="123"/>
      <c r="E1" s="123"/>
      <c r="F1" s="123"/>
      <c r="G1" s="123"/>
    </row>
    <row r="2" spans="1:7" ht="35.1" customHeight="1" x14ac:dyDescent="0.25">
      <c r="A2" s="124" t="s">
        <v>30</v>
      </c>
      <c r="B2" s="124"/>
      <c r="C2" s="124"/>
      <c r="D2" s="124"/>
      <c r="E2" s="124"/>
      <c r="F2" s="124"/>
      <c r="G2" s="124"/>
    </row>
    <row r="4" spans="1:7" x14ac:dyDescent="0.25">
      <c r="A4" s="122" t="s">
        <v>63</v>
      </c>
      <c r="B4" s="122"/>
      <c r="C4" s="122"/>
      <c r="D4" s="122"/>
      <c r="E4" s="122"/>
      <c r="F4" s="122"/>
      <c r="G4" s="122"/>
    </row>
    <row r="6" spans="1:7" ht="27" x14ac:dyDescent="0.25">
      <c r="A6" s="16" t="s">
        <v>17</v>
      </c>
      <c r="B6" s="16" t="s">
        <v>3</v>
      </c>
      <c r="C6" s="16" t="s">
        <v>18</v>
      </c>
      <c r="D6" s="16" t="s">
        <v>32</v>
      </c>
      <c r="E6" s="16" t="s">
        <v>19</v>
      </c>
      <c r="F6" s="16" t="s">
        <v>20</v>
      </c>
      <c r="G6" s="16" t="s">
        <v>21</v>
      </c>
    </row>
    <row r="7" spans="1:7" ht="40.5" x14ac:dyDescent="0.25">
      <c r="A7" s="17" t="s">
        <v>28</v>
      </c>
      <c r="B7" s="18" t="s">
        <v>60</v>
      </c>
      <c r="C7" s="19" t="s">
        <v>22</v>
      </c>
      <c r="D7" s="29">
        <v>310</v>
      </c>
      <c r="E7" s="29">
        <v>300</v>
      </c>
      <c r="F7" s="29">
        <v>290</v>
      </c>
      <c r="G7" s="18" t="s">
        <v>31</v>
      </c>
    </row>
    <row r="8" spans="1:7" ht="40.5" x14ac:dyDescent="0.25">
      <c r="A8" s="19" t="s">
        <v>29</v>
      </c>
      <c r="B8" s="18" t="s">
        <v>58</v>
      </c>
      <c r="C8" s="19" t="s">
        <v>22</v>
      </c>
      <c r="D8" s="29">
        <f>D7+8</f>
        <v>318</v>
      </c>
      <c r="E8" s="29">
        <f t="shared" ref="E8:F8" si="0">E7+8</f>
        <v>308</v>
      </c>
      <c r="F8" s="29">
        <f t="shared" si="0"/>
        <v>298</v>
      </c>
      <c r="G8" s="18" t="s">
        <v>57</v>
      </c>
    </row>
    <row r="9" spans="1:7" ht="40.5" x14ac:dyDescent="0.25">
      <c r="A9" s="19" t="s">
        <v>64</v>
      </c>
      <c r="B9" s="18" t="s">
        <v>59</v>
      </c>
      <c r="C9" s="19" t="s">
        <v>22</v>
      </c>
      <c r="D9" s="29">
        <f>D8+7</f>
        <v>325</v>
      </c>
      <c r="E9" s="29">
        <f t="shared" ref="E9:F9" si="1">E8+7</f>
        <v>315</v>
      </c>
      <c r="F9" s="29">
        <f t="shared" si="1"/>
        <v>305</v>
      </c>
      <c r="G9" s="18" t="s">
        <v>62</v>
      </c>
    </row>
    <row r="10" spans="1:7" ht="27" x14ac:dyDescent="0.25">
      <c r="A10" s="19" t="s">
        <v>65</v>
      </c>
      <c r="B10" s="18" t="s">
        <v>82</v>
      </c>
      <c r="C10" s="19" t="s">
        <v>61</v>
      </c>
      <c r="D10" s="29">
        <v>3</v>
      </c>
      <c r="E10" s="29">
        <v>3</v>
      </c>
      <c r="F10" s="29">
        <v>3</v>
      </c>
      <c r="G10" s="18"/>
    </row>
    <row r="11" spans="1:7" ht="27" x14ac:dyDescent="0.25">
      <c r="A11" s="19" t="s">
        <v>66</v>
      </c>
      <c r="B11" s="18" t="s">
        <v>83</v>
      </c>
      <c r="C11" s="19" t="s">
        <v>61</v>
      </c>
      <c r="D11" s="29">
        <v>6</v>
      </c>
      <c r="E11" s="29">
        <v>6</v>
      </c>
      <c r="F11" s="29">
        <v>6</v>
      </c>
      <c r="G11" s="18"/>
    </row>
    <row r="12" spans="1:7" ht="27" x14ac:dyDescent="0.25">
      <c r="A12" s="19" t="s">
        <v>67</v>
      </c>
      <c r="B12" s="18" t="s">
        <v>84</v>
      </c>
      <c r="C12" s="19" t="s">
        <v>61</v>
      </c>
      <c r="D12" s="29">
        <v>3</v>
      </c>
      <c r="E12" s="29">
        <v>3</v>
      </c>
      <c r="F12" s="29">
        <v>3</v>
      </c>
      <c r="G12" s="18"/>
    </row>
    <row r="13" spans="1:7" ht="40.5" x14ac:dyDescent="0.25">
      <c r="A13" s="19" t="s">
        <v>68</v>
      </c>
      <c r="B13" s="20" t="s">
        <v>85</v>
      </c>
      <c r="C13" s="21" t="s">
        <v>22</v>
      </c>
      <c r="D13" s="30">
        <f>SUMPRODUCT(D7:D9,D10:D12)/SUM(D10:D12)</f>
        <v>317.75</v>
      </c>
      <c r="E13" s="30">
        <f t="shared" ref="E13:F13" si="2">SUMPRODUCT(E7:E9,E10:E12)/SUM(E10:E12)</f>
        <v>307.75</v>
      </c>
      <c r="F13" s="30">
        <f t="shared" si="2"/>
        <v>297.75</v>
      </c>
      <c r="G13" s="28"/>
    </row>
    <row r="14" spans="1:7" ht="27" x14ac:dyDescent="0.25">
      <c r="A14" s="19" t="s">
        <v>69</v>
      </c>
      <c r="B14" s="18" t="s">
        <v>86</v>
      </c>
      <c r="C14" s="19" t="s">
        <v>89</v>
      </c>
      <c r="D14" s="22">
        <f>(D13/D7-1)</f>
        <v>2.4999999999999911E-2</v>
      </c>
      <c r="E14" s="22">
        <f t="shared" ref="E14:F14" si="3">(E13/E7-1)</f>
        <v>2.5833333333333375E-2</v>
      </c>
      <c r="F14" s="22">
        <f t="shared" si="3"/>
        <v>2.6724137931034564E-2</v>
      </c>
      <c r="G14" s="18"/>
    </row>
    <row r="15" spans="1:7" ht="27" x14ac:dyDescent="0.25">
      <c r="A15" s="19" t="s">
        <v>70</v>
      </c>
      <c r="B15" s="23" t="s">
        <v>87</v>
      </c>
      <c r="C15" s="17" t="s">
        <v>89</v>
      </c>
      <c r="D15" s="24">
        <v>0.02</v>
      </c>
      <c r="E15" s="24">
        <v>0.02</v>
      </c>
      <c r="F15" s="24">
        <v>0.02</v>
      </c>
      <c r="G15" s="23"/>
    </row>
    <row r="16" spans="1:7" ht="40.5" x14ac:dyDescent="0.25">
      <c r="A16" s="19" t="s">
        <v>71</v>
      </c>
      <c r="B16" s="20" t="s">
        <v>88</v>
      </c>
      <c r="C16" s="16" t="s">
        <v>89</v>
      </c>
      <c r="D16" s="25">
        <f>D14-D15</f>
        <v>4.9999999999999108E-3</v>
      </c>
      <c r="E16" s="25">
        <f t="shared" ref="E16:F16" si="4">E14-E15</f>
        <v>5.8333333333333744E-3</v>
      </c>
      <c r="F16" s="25">
        <f t="shared" si="4"/>
        <v>6.7241379310345635E-3</v>
      </c>
      <c r="G16" s="23"/>
    </row>
    <row r="17" spans="1:7" ht="27" x14ac:dyDescent="0.25">
      <c r="A17" s="19" t="s">
        <v>72</v>
      </c>
      <c r="B17" s="23" t="s">
        <v>90</v>
      </c>
      <c r="C17" s="17" t="s">
        <v>22</v>
      </c>
      <c r="D17" s="31">
        <f>D7*D16</f>
        <v>1.5499999999999723</v>
      </c>
      <c r="E17" s="31">
        <f t="shared" ref="E17:F17" si="5">E7*E16</f>
        <v>1.7500000000000122</v>
      </c>
      <c r="F17" s="31">
        <f t="shared" si="5"/>
        <v>1.9500000000000235</v>
      </c>
      <c r="G17" s="23"/>
    </row>
    <row r="18" spans="1:7" x14ac:dyDescent="0.25">
      <c r="A18" s="19" t="s">
        <v>73</v>
      </c>
      <c r="B18" s="18" t="s">
        <v>23</v>
      </c>
      <c r="C18" s="19" t="s">
        <v>22</v>
      </c>
      <c r="D18" s="32">
        <f>D17*13.16%</f>
        <v>0.20397999999999636</v>
      </c>
      <c r="E18" s="32">
        <f t="shared" ref="E18:F18" si="6">E17*13.16%</f>
        <v>0.23030000000000159</v>
      </c>
      <c r="F18" s="32">
        <f t="shared" si="6"/>
        <v>0.25662000000000307</v>
      </c>
      <c r="G18" s="18" t="s">
        <v>91</v>
      </c>
    </row>
    <row r="19" spans="1:7" ht="27" x14ac:dyDescent="0.25">
      <c r="A19" s="19" t="s">
        <v>74</v>
      </c>
      <c r="B19" s="18" t="s">
        <v>97</v>
      </c>
      <c r="C19" s="19" t="s">
        <v>22</v>
      </c>
      <c r="D19" s="32">
        <f>D17*1%</f>
        <v>1.5499999999999724E-2</v>
      </c>
      <c r="E19" s="32">
        <f t="shared" ref="E19:F19" si="7">E17*1%</f>
        <v>1.7500000000000123E-2</v>
      </c>
      <c r="F19" s="32">
        <f t="shared" si="7"/>
        <v>1.9500000000000236E-2</v>
      </c>
      <c r="G19" s="18" t="s">
        <v>98</v>
      </c>
    </row>
    <row r="20" spans="1:7" x14ac:dyDescent="0.25">
      <c r="A20" s="19" t="s">
        <v>75</v>
      </c>
      <c r="B20" s="18" t="s">
        <v>24</v>
      </c>
      <c r="C20" s="19" t="s">
        <v>22</v>
      </c>
      <c r="D20" s="32">
        <f>D17*8.33%</f>
        <v>0.1291149999999977</v>
      </c>
      <c r="E20" s="32">
        <f t="shared" ref="E20:F20" si="8">E17*8.33%</f>
        <v>0.14577500000000101</v>
      </c>
      <c r="F20" s="32">
        <f t="shared" si="8"/>
        <v>0.16243500000000197</v>
      </c>
      <c r="G20" s="18" t="s">
        <v>95</v>
      </c>
    </row>
    <row r="21" spans="1:7" x14ac:dyDescent="0.25">
      <c r="A21" s="19" t="s">
        <v>76</v>
      </c>
      <c r="B21" s="18" t="s">
        <v>25</v>
      </c>
      <c r="C21" s="19" t="s">
        <v>22</v>
      </c>
      <c r="D21" s="32">
        <f>D17*5%</f>
        <v>7.7499999999998626E-2</v>
      </c>
      <c r="E21" s="32">
        <f t="shared" ref="E21:F21" si="9">E17*5%</f>
        <v>8.7500000000000619E-2</v>
      </c>
      <c r="F21" s="32">
        <f t="shared" si="9"/>
        <v>9.7500000000001183E-2</v>
      </c>
      <c r="G21" s="18" t="s">
        <v>92</v>
      </c>
    </row>
    <row r="22" spans="1:7" x14ac:dyDescent="0.25">
      <c r="A22" s="19" t="s">
        <v>77</v>
      </c>
      <c r="B22" s="26" t="s">
        <v>93</v>
      </c>
      <c r="C22" s="16" t="s">
        <v>22</v>
      </c>
      <c r="D22" s="33">
        <f>SUM(D17:D21)</f>
        <v>1.9760949999999644</v>
      </c>
      <c r="E22" s="33">
        <f>SUM(E17:E21)</f>
        <v>2.2310750000000157</v>
      </c>
      <c r="F22" s="33">
        <f>SUM(F17:F21)</f>
        <v>2.4860550000000301</v>
      </c>
      <c r="G22" s="26"/>
    </row>
    <row r="23" spans="1:7" x14ac:dyDescent="0.25">
      <c r="A23" s="19" t="s">
        <v>78</v>
      </c>
      <c r="B23" s="18" t="s">
        <v>96</v>
      </c>
      <c r="C23" s="19" t="s">
        <v>22</v>
      </c>
      <c r="D23" s="32">
        <f>D22/6</f>
        <v>0.32934916666666075</v>
      </c>
      <c r="E23" s="32">
        <f>E22/6</f>
        <v>0.37184583333333593</v>
      </c>
      <c r="F23" s="32">
        <f>F22/6</f>
        <v>0.414342500000005</v>
      </c>
      <c r="G23" s="34" t="s">
        <v>94</v>
      </c>
    </row>
    <row r="24" spans="1:7" ht="27" x14ac:dyDescent="0.25">
      <c r="A24" s="19" t="s">
        <v>79</v>
      </c>
      <c r="B24" s="26" t="s">
        <v>99</v>
      </c>
      <c r="C24" s="16" t="s">
        <v>22</v>
      </c>
      <c r="D24" s="33">
        <f>ROUND(D22+D23,2)</f>
        <v>2.31</v>
      </c>
      <c r="E24" s="33">
        <f t="shared" ref="E24:F24" si="10">ROUND(E22+E23,2)</f>
        <v>2.6</v>
      </c>
      <c r="F24" s="33">
        <f t="shared" si="10"/>
        <v>2.9</v>
      </c>
      <c r="G24" s="26"/>
    </row>
    <row r="25" spans="1:7" ht="40.5" x14ac:dyDescent="0.25">
      <c r="A25" s="19" t="s">
        <v>80</v>
      </c>
      <c r="B25" s="23" t="s">
        <v>105</v>
      </c>
      <c r="C25" s="17" t="s">
        <v>55</v>
      </c>
      <c r="D25" s="35">
        <f>25*305</f>
        <v>7625</v>
      </c>
      <c r="E25" s="35">
        <f>25*365</f>
        <v>9125</v>
      </c>
      <c r="F25" s="35">
        <f>40*365</f>
        <v>14600</v>
      </c>
      <c r="G25" s="23" t="s">
        <v>106</v>
      </c>
    </row>
    <row r="26" spans="1:7" ht="54" x14ac:dyDescent="0.25">
      <c r="A26" s="19" t="s">
        <v>81</v>
      </c>
      <c r="B26" s="26" t="s">
        <v>100</v>
      </c>
      <c r="C26" s="16" t="s">
        <v>6</v>
      </c>
      <c r="D26" s="36">
        <f>ROUND(D24*D25,0)</f>
        <v>17614</v>
      </c>
      <c r="E26" s="36">
        <f t="shared" ref="E26:F26" si="11">ROUND(E24*E25,0)</f>
        <v>23725</v>
      </c>
      <c r="F26" s="36">
        <f t="shared" si="11"/>
        <v>42340</v>
      </c>
      <c r="G26" s="26"/>
    </row>
    <row r="28" spans="1:7" x14ac:dyDescent="0.25">
      <c r="A28" s="37"/>
      <c r="B28" s="38" t="s">
        <v>56</v>
      </c>
      <c r="C28" s="37"/>
      <c r="D28" s="37"/>
      <c r="E28" s="37"/>
      <c r="F28" s="37"/>
      <c r="G28" s="37"/>
    </row>
    <row r="29" spans="1:7" ht="27" customHeight="1" x14ac:dyDescent="0.25">
      <c r="A29" s="39">
        <v>1</v>
      </c>
      <c r="B29" s="121" t="s">
        <v>104</v>
      </c>
      <c r="C29" s="121"/>
      <c r="D29" s="121"/>
      <c r="E29" s="121"/>
      <c r="F29" s="121"/>
      <c r="G29" s="121"/>
    </row>
    <row r="30" spans="1:7" x14ac:dyDescent="0.25">
      <c r="A30" s="39">
        <v>2</v>
      </c>
      <c r="B30" s="37" t="s">
        <v>101</v>
      </c>
      <c r="C30" s="37"/>
      <c r="D30" s="37"/>
      <c r="E30" s="37"/>
      <c r="F30" s="37"/>
      <c r="G30" s="37"/>
    </row>
    <row r="31" spans="1:7" ht="27" customHeight="1" x14ac:dyDescent="0.25">
      <c r="A31" s="39">
        <v>3</v>
      </c>
      <c r="B31" s="121" t="s">
        <v>103</v>
      </c>
      <c r="C31" s="121"/>
      <c r="D31" s="121"/>
      <c r="E31" s="121"/>
      <c r="F31" s="121"/>
      <c r="G31" s="121"/>
    </row>
    <row r="32" spans="1:7" ht="27" customHeight="1" x14ac:dyDescent="0.25">
      <c r="A32" s="39">
        <v>4</v>
      </c>
      <c r="B32" s="121" t="s">
        <v>102</v>
      </c>
      <c r="C32" s="121"/>
      <c r="D32" s="121"/>
      <c r="E32" s="121"/>
      <c r="F32" s="121"/>
      <c r="G32" s="121"/>
    </row>
    <row r="33" spans="1:7" ht="27" customHeight="1" x14ac:dyDescent="0.25">
      <c r="A33" s="39">
        <v>5</v>
      </c>
      <c r="B33" s="121" t="s">
        <v>107</v>
      </c>
      <c r="C33" s="121"/>
      <c r="D33" s="121"/>
      <c r="E33" s="121"/>
      <c r="F33" s="121"/>
      <c r="G33" s="121"/>
    </row>
    <row r="34" spans="1:7" x14ac:dyDescent="0.25">
      <c r="A34" s="37"/>
      <c r="B34" s="37"/>
      <c r="C34" s="37"/>
      <c r="D34" s="37"/>
      <c r="E34" s="37"/>
      <c r="F34" s="37"/>
      <c r="G34" s="37"/>
    </row>
    <row r="35" spans="1:7" x14ac:dyDescent="0.25">
      <c r="A35" s="37"/>
      <c r="B35" s="37"/>
      <c r="C35" s="37"/>
      <c r="D35" s="37"/>
      <c r="E35" s="37"/>
      <c r="F35" s="37"/>
      <c r="G35" s="37"/>
    </row>
    <row r="36" spans="1:7" x14ac:dyDescent="0.25">
      <c r="A36" s="37"/>
      <c r="B36" s="37"/>
      <c r="C36" s="37"/>
      <c r="D36" s="37"/>
      <c r="E36" s="37"/>
      <c r="F36" s="37"/>
      <c r="G36" s="37"/>
    </row>
    <row r="37" spans="1:7" x14ac:dyDescent="0.25">
      <c r="A37" s="37"/>
      <c r="B37" s="37"/>
      <c r="C37" s="37"/>
      <c r="D37" s="37"/>
      <c r="E37" s="37"/>
      <c r="F37" s="37"/>
      <c r="G37" s="37"/>
    </row>
  </sheetData>
  <mergeCells count="7">
    <mergeCell ref="B31:G31"/>
    <mergeCell ref="B32:G32"/>
    <mergeCell ref="B33:G33"/>
    <mergeCell ref="A4:G4"/>
    <mergeCell ref="A1:G1"/>
    <mergeCell ref="A2:G2"/>
    <mergeCell ref="B29:G29"/>
  </mergeCells>
  <printOptions horizontalCentered="1"/>
  <pageMargins left="0.9055118110236221" right="0.70866141732283472" top="0.74803149606299213" bottom="0.74803149606299213" header="0.31496062992125984" footer="0.31496062992125984"/>
  <pageSetup paperSize="9" scale="83" orientation="portrait" r:id="rId1"/>
  <headerFooter>
    <oddFooter xml:space="preserve">&amp;LAdani Ports and SEZ Ltd.
NIT No.: 01 / 2018
&amp;CSchedule-7 (Part-H)
Illustration for Change in Man-day Rates
w.r.t. Change in Minimum Wages&amp;RPage &amp;P of &amp;N
</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Final SLA</vt:lpstr>
      <vt:lpstr>MP LD Illu.</vt:lpstr>
      <vt:lpstr>Min. Wage Illu. </vt:lpstr>
      <vt:lpstr>'Final SLA'!Print_Area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Priyank Patel</dc:creator>
  <cp:lastModifiedBy>Santosh Parmar</cp:lastModifiedBy>
  <cp:lastPrinted>2021-04-01T11:23:09Z</cp:lastPrinted>
  <dcterms:created xsi:type="dcterms:W3CDTF">2018-02-03T05:30:47Z</dcterms:created>
  <dcterms:modified xsi:type="dcterms:W3CDTF">2024-01-29T12:39:35Z</dcterms:modified>
</cp:coreProperties>
</file>